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FAM CMZL\Desktop\licitações\2026\Limpeza emergencial\"/>
    </mc:Choice>
  </mc:AlternateContent>
  <bookViews>
    <workbookView xWindow="0" yWindow="0" windowWidth="16170" windowHeight="8640"/>
  </bookViews>
  <sheets>
    <sheet name="PROPOSTA" sheetId="13" r:id="rId1"/>
    <sheet name="POR METRO" sheetId="10" r:id="rId2"/>
    <sheet name="ENCARREGADA" sheetId="9" r:id="rId3"/>
    <sheet name="AGENTE DE LIMPEZA banheirista" sheetId="16" r:id="rId4"/>
    <sheet name="AGENTE DE LIMPEZA " sheetId="3" r:id="rId5"/>
    <sheet name="Uniformes e utensilhos" sheetId="14" r:id="rId6"/>
    <sheet name="MATERIAIS" sheetId="12" r:id="rId7"/>
    <sheet name="encarregado" sheetId="11" state="hidden" r:id="rId8"/>
    <sheet name="BENEFICIOS" sheetId="4" r:id="rId9"/>
    <sheet name="Plan1" sheetId="17" r:id="rId10"/>
  </sheets>
  <externalReferences>
    <externalReference r:id="rId11"/>
  </externalReferences>
  <definedNames>
    <definedName name="_1Excel_BuiltIn_Print_Area_1_1">"$#REF!.$A$1:$G$205"</definedName>
    <definedName name="_xlnm._FilterDatabase" localSheetId="6" hidden="1">MATERIAIS!$A$3:$H$85</definedName>
    <definedName name="A" localSheetId="3">'[1]Validação - MO'!#REF!</definedName>
    <definedName name="A">'[1]Validação - MO'!#REF!</definedName>
    <definedName name="aa" localSheetId="3">'[1]Validação - MO'!#REF!</definedName>
    <definedName name="aa">'[1]Validação - MO'!#REF!</definedName>
    <definedName name="Area_2" localSheetId="3">#REF!</definedName>
    <definedName name="Area_2">#REF!</definedName>
    <definedName name="_xlnm.Print_Area" localSheetId="4">'AGENTE DE LIMPEZA '!$A$1:$E$140</definedName>
    <definedName name="_xlnm.Print_Area" localSheetId="3">'AGENTE DE LIMPEZA banheirista'!$A$1:$E$139</definedName>
    <definedName name="_xlnm.Print_Area" localSheetId="8">BENEFICIOS!$A$1:$B$9</definedName>
    <definedName name="_xlnm.Print_Area" localSheetId="2">ENCARREGADA!$A$1:$E$139</definedName>
    <definedName name="_xlnm.Print_Area" localSheetId="6">MATERIAIS!$A$1:$H$86</definedName>
    <definedName name="_xlnm.Print_Area" localSheetId="1">'POR METRO'!$A$2:$J$44</definedName>
    <definedName name="_xlnm.Print_Area" localSheetId="0">PROPOSTA!$A$1:$F$19</definedName>
    <definedName name="_xlnm.Print_Area" localSheetId="5">'Uniformes e utensilhos'!$A$2:$L$41</definedName>
    <definedName name="aREA1" localSheetId="3">#REF!</definedName>
    <definedName name="aREA1">#REF!</definedName>
    <definedName name="area2" localSheetId="3">#REF!</definedName>
    <definedName name="area2">#REF!</definedName>
    <definedName name="Area3" localSheetId="3">#REF!</definedName>
    <definedName name="Area3">#REF!</definedName>
    <definedName name="Area4" localSheetId="3">#REF!</definedName>
    <definedName name="Area4">#REF!</definedName>
    <definedName name="B" localSheetId="3">'[1]Validação - MO'!#REF!</definedName>
    <definedName name="B">'[1]Validação - MO'!#REF!</definedName>
    <definedName name="_xlnm.Database" localSheetId="3">#REF!</definedName>
    <definedName name="_xlnm.Database">#REF!</definedName>
    <definedName name="CNAE">#NAME?</definedName>
    <definedName name="COFINS">#NAME?</definedName>
    <definedName name="E" localSheetId="3">#REF!</definedName>
    <definedName name="E">#REF!</definedName>
    <definedName name="Excel_BuilIn" localSheetId="3">#REF!</definedName>
    <definedName name="Excel_BuilIn">#REF!</definedName>
    <definedName name="Excel_BuiltIn_Print_Area" localSheetId="3">#REF!</definedName>
    <definedName name="Excel_BuiltIn_Print_Area">#REF!</definedName>
    <definedName name="Excel_BuiltIn_Print_Area_1">"$#REF!.$A$1:$G$203"</definedName>
    <definedName name="Excel_BuiltIn_Print_Area_1_1">"$#REF!.$A$1:$F$205"</definedName>
    <definedName name="Excel_BuiltIn_Print_Area_2" localSheetId="3">#REF!</definedName>
    <definedName name="Excel_BuiltIn_Print_Area_2">#REF!</definedName>
    <definedName name="Excel_buitln_Print_Area_2" localSheetId="3">#REF!</definedName>
    <definedName name="Excel_buitln_Print_Area_2">#REF!</definedName>
    <definedName name="Excel_um" localSheetId="3">#REF!</definedName>
    <definedName name="Excel_um">#REF!</definedName>
    <definedName name="FAIXA">#NAME?</definedName>
    <definedName name="FAP">#NAME?</definedName>
    <definedName name="FERRAMENTAS" localSheetId="3">#REF!</definedName>
    <definedName name="FERRAMENTAS">#REF!</definedName>
    <definedName name="GERALZÃO" localSheetId="3">'[1]Validação - MO'!#REF!</definedName>
    <definedName name="GERALZÃO">'[1]Validação - MO'!#REF!</definedName>
    <definedName name="Insalubridade">#NAME?</definedName>
    <definedName name="INSUMO" localSheetId="3">#REF!</definedName>
    <definedName name="INSUMO">#REF!</definedName>
    <definedName name="ISS">#NAME?</definedName>
    <definedName name="Pintor" localSheetId="3">#REF!</definedName>
    <definedName name="Pintor">#REF!</definedName>
    <definedName name="Pintor1" localSheetId="3">#REF!</definedName>
    <definedName name="Pintor1">#REF!</definedName>
    <definedName name="PIS">#NAME?</definedName>
    <definedName name="RAT">#NAME?</definedName>
    <definedName name="RECEITA_BRUTA">#NAME?</definedName>
    <definedName name="REGIME">#NAME?</definedName>
    <definedName name="REGIME_DE_TRIBUTAÇÃO">#NAME?</definedName>
    <definedName name="Salário_Base">#NAME?</definedName>
    <definedName name="um" localSheetId="3">#REF!</definedName>
    <definedName name="um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17" l="1"/>
  <c r="R10" i="17" s="1"/>
  <c r="R6" i="17"/>
  <c r="R7" i="17"/>
  <c r="R8" i="17"/>
  <c r="R5" i="17"/>
  <c r="D36" i="10"/>
  <c r="Q6" i="17" l="1"/>
  <c r="Q7" i="17"/>
  <c r="Q8" i="17"/>
  <c r="Q5" i="17"/>
  <c r="H35" i="10"/>
  <c r="H36" i="10"/>
  <c r="H37" i="10"/>
  <c r="H34" i="10"/>
  <c r="G42" i="10" l="1"/>
  <c r="G43" i="10"/>
  <c r="G41" i="10"/>
  <c r="D73" i="3" l="1"/>
  <c r="C73" i="3"/>
  <c r="C72" i="16"/>
  <c r="C73" i="9"/>
  <c r="D73" i="9"/>
  <c r="D72" i="16"/>
  <c r="B15" i="13" l="1"/>
  <c r="B14" i="13"/>
  <c r="E6" i="13"/>
  <c r="E7" i="13"/>
  <c r="D18" i="13"/>
  <c r="E18" i="13"/>
  <c r="C120" i="3" l="1"/>
  <c r="C119" i="16"/>
  <c r="D67" i="9" l="1"/>
  <c r="K34" i="14" l="1"/>
  <c r="K35" i="14"/>
  <c r="K36" i="14"/>
  <c r="K37" i="14"/>
  <c r="K38" i="14"/>
  <c r="K39" i="14"/>
  <c r="K33" i="14"/>
  <c r="G40" i="14"/>
  <c r="F40" i="14"/>
  <c r="H39" i="14"/>
  <c r="I39" i="14" s="1"/>
  <c r="J39" i="14" s="1"/>
  <c r="H38" i="14"/>
  <c r="I38" i="14" s="1"/>
  <c r="J38" i="14" s="1"/>
  <c r="H37" i="14"/>
  <c r="I37" i="14" s="1"/>
  <c r="J37" i="14" s="1"/>
  <c r="L37" i="14" s="1"/>
  <c r="H36" i="14"/>
  <c r="I36" i="14" s="1"/>
  <c r="J36" i="14" s="1"/>
  <c r="H35" i="14"/>
  <c r="I35" i="14" s="1"/>
  <c r="J35" i="14" s="1"/>
  <c r="H34" i="14"/>
  <c r="I34" i="14" s="1"/>
  <c r="J34" i="14" s="1"/>
  <c r="H33" i="14"/>
  <c r="I33" i="14" s="1"/>
  <c r="G6" i="14"/>
  <c r="G11" i="14" s="1"/>
  <c r="G7" i="14"/>
  <c r="G8" i="14"/>
  <c r="G9" i="14"/>
  <c r="G10" i="14"/>
  <c r="G5" i="14"/>
  <c r="F6" i="14"/>
  <c r="F7" i="14"/>
  <c r="F8" i="14"/>
  <c r="F9" i="14"/>
  <c r="F10" i="14"/>
  <c r="F5" i="14"/>
  <c r="G16" i="14"/>
  <c r="G17" i="14"/>
  <c r="G18" i="14"/>
  <c r="G19" i="14"/>
  <c r="G20" i="14"/>
  <c r="G21" i="14"/>
  <c r="G22" i="14"/>
  <c r="G15" i="14"/>
  <c r="F16" i="14"/>
  <c r="F17" i="14"/>
  <c r="F18" i="14"/>
  <c r="F19" i="14"/>
  <c r="F20" i="14"/>
  <c r="F21" i="14"/>
  <c r="F22" i="14"/>
  <c r="F15" i="14"/>
  <c r="I81" i="12"/>
  <c r="I82" i="12"/>
  <c r="I83" i="12"/>
  <c r="I84" i="12"/>
  <c r="I85" i="12"/>
  <c r="D5" i="12"/>
  <c r="G5" i="12" s="1"/>
  <c r="D6" i="12"/>
  <c r="G6" i="12" s="1"/>
  <c r="D7" i="12"/>
  <c r="G7" i="12" s="1"/>
  <c r="D8" i="12"/>
  <c r="G8" i="12" s="1"/>
  <c r="D9" i="12"/>
  <c r="G9" i="12" s="1"/>
  <c r="D10" i="12"/>
  <c r="G10" i="12" s="1"/>
  <c r="D11" i="12"/>
  <c r="G11" i="12" s="1"/>
  <c r="D12" i="12"/>
  <c r="G12" i="12" s="1"/>
  <c r="D13" i="12"/>
  <c r="G13" i="12" s="1"/>
  <c r="D14" i="12"/>
  <c r="G14" i="12" s="1"/>
  <c r="D15" i="12"/>
  <c r="G15" i="12" s="1"/>
  <c r="D16" i="12"/>
  <c r="G16" i="12" s="1"/>
  <c r="D17" i="12"/>
  <c r="G17" i="12" s="1"/>
  <c r="D18" i="12"/>
  <c r="G18" i="12" s="1"/>
  <c r="D19" i="12"/>
  <c r="G19" i="12" s="1"/>
  <c r="D20" i="12"/>
  <c r="G20" i="12" s="1"/>
  <c r="D21" i="12"/>
  <c r="G21" i="12" s="1"/>
  <c r="D22" i="12"/>
  <c r="G22" i="12" s="1"/>
  <c r="D23" i="12"/>
  <c r="G23" i="12" s="1"/>
  <c r="D24" i="12"/>
  <c r="G24" i="12" s="1"/>
  <c r="D25" i="12"/>
  <c r="G25" i="12" s="1"/>
  <c r="D26" i="12"/>
  <c r="G26" i="12" s="1"/>
  <c r="D27" i="12"/>
  <c r="G27" i="12" s="1"/>
  <c r="D28" i="12"/>
  <c r="G28" i="12" s="1"/>
  <c r="D29" i="12"/>
  <c r="G29" i="12" s="1"/>
  <c r="D30" i="12"/>
  <c r="G30" i="12" s="1"/>
  <c r="D31" i="12"/>
  <c r="G31" i="12" s="1"/>
  <c r="D32" i="12"/>
  <c r="G32" i="12" s="1"/>
  <c r="D33" i="12"/>
  <c r="G33" i="12" s="1"/>
  <c r="D34" i="12"/>
  <c r="G34" i="12" s="1"/>
  <c r="D35" i="12"/>
  <c r="G35" i="12" s="1"/>
  <c r="D36" i="12"/>
  <c r="G36" i="12" s="1"/>
  <c r="D37" i="12"/>
  <c r="G37" i="12" s="1"/>
  <c r="D38" i="12"/>
  <c r="G38" i="12" s="1"/>
  <c r="D39" i="12"/>
  <c r="G39" i="12" s="1"/>
  <c r="D40" i="12"/>
  <c r="G40" i="12" s="1"/>
  <c r="D41" i="12"/>
  <c r="G41" i="12" s="1"/>
  <c r="D42" i="12"/>
  <c r="G42" i="12" s="1"/>
  <c r="D43" i="12"/>
  <c r="G43" i="12" s="1"/>
  <c r="D44" i="12"/>
  <c r="G44" i="12" s="1"/>
  <c r="D45" i="12"/>
  <c r="G45" i="12" s="1"/>
  <c r="D46" i="12"/>
  <c r="G46" i="12" s="1"/>
  <c r="D47" i="12"/>
  <c r="G47" i="12" s="1"/>
  <c r="D48" i="12"/>
  <c r="G48" i="12" s="1"/>
  <c r="D49" i="12"/>
  <c r="G49" i="12" s="1"/>
  <c r="D50" i="12"/>
  <c r="G50" i="12" s="1"/>
  <c r="D51" i="12"/>
  <c r="G51" i="12" s="1"/>
  <c r="D52" i="12"/>
  <c r="G52" i="12" s="1"/>
  <c r="D53" i="12"/>
  <c r="G53" i="12" s="1"/>
  <c r="D54" i="12"/>
  <c r="G54" i="12" s="1"/>
  <c r="D55" i="12"/>
  <c r="G55" i="12" s="1"/>
  <c r="D56" i="12"/>
  <c r="G56" i="12" s="1"/>
  <c r="D57" i="12"/>
  <c r="G57" i="12" s="1"/>
  <c r="D58" i="12"/>
  <c r="G58" i="12" s="1"/>
  <c r="D59" i="12"/>
  <c r="G59" i="12" s="1"/>
  <c r="D60" i="12"/>
  <c r="G60" i="12" s="1"/>
  <c r="D61" i="12"/>
  <c r="G61" i="12" s="1"/>
  <c r="D62" i="12"/>
  <c r="G62" i="12" s="1"/>
  <c r="D63" i="12"/>
  <c r="G63" i="12" s="1"/>
  <c r="D64" i="12"/>
  <c r="G64" i="12" s="1"/>
  <c r="D65" i="12"/>
  <c r="G65" i="12" s="1"/>
  <c r="D66" i="12"/>
  <c r="G66" i="12" s="1"/>
  <c r="D67" i="12"/>
  <c r="G67" i="12" s="1"/>
  <c r="D68" i="12"/>
  <c r="G68" i="12" s="1"/>
  <c r="D69" i="12"/>
  <c r="G69" i="12" s="1"/>
  <c r="D70" i="12"/>
  <c r="G70" i="12" s="1"/>
  <c r="D71" i="12"/>
  <c r="G71" i="12" s="1"/>
  <c r="D72" i="12"/>
  <c r="G72" i="12" s="1"/>
  <c r="D73" i="12"/>
  <c r="G73" i="12" s="1"/>
  <c r="D74" i="12"/>
  <c r="G74" i="12" s="1"/>
  <c r="D75" i="12"/>
  <c r="G75" i="12" s="1"/>
  <c r="D76" i="12"/>
  <c r="G76" i="12" s="1"/>
  <c r="D77" i="12"/>
  <c r="G77" i="12" s="1"/>
  <c r="D78" i="12"/>
  <c r="G78" i="12" s="1"/>
  <c r="D79" i="12"/>
  <c r="G79" i="12" s="1"/>
  <c r="D80" i="12"/>
  <c r="G80" i="12" s="1"/>
  <c r="D4" i="12"/>
  <c r="G4" i="12" s="1"/>
  <c r="H27" i="12"/>
  <c r="H35" i="12"/>
  <c r="H36" i="12"/>
  <c r="H43" i="12"/>
  <c r="H44" i="12"/>
  <c r="H23" i="12"/>
  <c r="H24" i="12"/>
  <c r="H25" i="12"/>
  <c r="H26" i="12"/>
  <c r="H31" i="12"/>
  <c r="H32" i="12"/>
  <c r="H33" i="12"/>
  <c r="H34" i="12"/>
  <c r="H39" i="12"/>
  <c r="H40" i="12"/>
  <c r="H41" i="12"/>
  <c r="H42" i="12"/>
  <c r="H47" i="12"/>
  <c r="H48" i="12"/>
  <c r="L36" i="14" l="1"/>
  <c r="L34" i="14"/>
  <c r="L35" i="14"/>
  <c r="K40" i="14"/>
  <c r="L38" i="14"/>
  <c r="L39" i="14"/>
  <c r="I40" i="14"/>
  <c r="J33" i="14"/>
  <c r="H40" i="14"/>
  <c r="F23" i="14"/>
  <c r="F11" i="14"/>
  <c r="G23" i="14"/>
  <c r="H28" i="12"/>
  <c r="H46" i="12"/>
  <c r="H38" i="12"/>
  <c r="H30" i="12"/>
  <c r="H45" i="12"/>
  <c r="H29" i="12"/>
  <c r="H37" i="12"/>
  <c r="G25" i="14" l="1"/>
  <c r="C110" i="9" s="1"/>
  <c r="J40" i="14"/>
  <c r="L33" i="14"/>
  <c r="L40" i="14" s="1"/>
  <c r="L41" i="14" s="1"/>
  <c r="C109" i="16" l="1"/>
  <c r="C111" i="16"/>
  <c r="C112" i="3"/>
  <c r="C110" i="3"/>
  <c r="E28" i="10"/>
  <c r="E27" i="10"/>
  <c r="C25" i="10"/>
  <c r="E14" i="10"/>
  <c r="E13" i="10"/>
  <c r="E5" i="10"/>
  <c r="E6" i="10"/>
  <c r="E37" i="10"/>
  <c r="J36" i="10"/>
  <c r="J37" i="10"/>
  <c r="J34" i="10"/>
  <c r="C52" i="3" l="1"/>
  <c r="C52" i="9"/>
  <c r="C51" i="9"/>
  <c r="B51" i="9"/>
  <c r="C51" i="3"/>
  <c r="B51" i="3"/>
  <c r="C16" i="16" l="1"/>
  <c r="C11" i="16"/>
  <c r="C102" i="16"/>
  <c r="C50" i="16"/>
  <c r="B50" i="16"/>
  <c r="C49" i="16"/>
  <c r="C48" i="16"/>
  <c r="C47" i="16"/>
  <c r="C46" i="16"/>
  <c r="C40" i="16"/>
  <c r="C25" i="16"/>
  <c r="C83" i="3"/>
  <c r="C83" i="9"/>
  <c r="C51" i="16" l="1"/>
  <c r="C59" i="16" s="1"/>
  <c r="C131" i="16"/>
  <c r="C24" i="16"/>
  <c r="C26" i="16" s="1"/>
  <c r="E38" i="10"/>
  <c r="C20" i="10"/>
  <c r="E20" i="10" s="1"/>
  <c r="C19" i="10"/>
  <c r="E19" i="10" s="1"/>
  <c r="D20" i="10"/>
  <c r="C82" i="16" l="1"/>
  <c r="D37" i="16"/>
  <c r="D68" i="16"/>
  <c r="D33" i="16"/>
  <c r="D32" i="16"/>
  <c r="D38" i="16"/>
  <c r="D34" i="16"/>
  <c r="C57" i="16"/>
  <c r="D67" i="16"/>
  <c r="D39" i="16"/>
  <c r="D35" i="16"/>
  <c r="D66" i="16"/>
  <c r="D36" i="16"/>
  <c r="H18" i="12"/>
  <c r="H12" i="12"/>
  <c r="H70" i="12"/>
  <c r="H11" i="12"/>
  <c r="H10" i="12"/>
  <c r="H78" i="12"/>
  <c r="H76" i="12"/>
  <c r="H73" i="12"/>
  <c r="H19" i="12"/>
  <c r="H74" i="12"/>
  <c r="H80" i="12"/>
  <c r="H72" i="12"/>
  <c r="H14" i="12"/>
  <c r="H6" i="12"/>
  <c r="H79" i="12"/>
  <c r="H16" i="12"/>
  <c r="H71" i="12" l="1"/>
  <c r="D40" i="16"/>
  <c r="H77" i="12"/>
  <c r="H15" i="12"/>
  <c r="H75" i="12"/>
  <c r="H9" i="12"/>
  <c r="H20" i="12"/>
  <c r="H13" i="12"/>
  <c r="H17" i="12"/>
  <c r="C58" i="16" l="1"/>
  <c r="C60" i="16" s="1"/>
  <c r="D69" i="16"/>
  <c r="D14" i="10"/>
  <c r="D28" i="10" s="1"/>
  <c r="G86" i="12"/>
  <c r="D7" i="13" s="1"/>
  <c r="C69" i="16" l="1"/>
  <c r="D70" i="16"/>
  <c r="C132" i="16"/>
  <c r="C103" i="3"/>
  <c r="C112" i="16" l="1"/>
  <c r="C70" i="16"/>
  <c r="D71" i="16"/>
  <c r="D73" i="16" s="1"/>
  <c r="D11" i="14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22" i="12"/>
  <c r="H21" i="12"/>
  <c r="H8" i="12"/>
  <c r="H7" i="12"/>
  <c r="H5" i="12"/>
  <c r="H4" i="12"/>
  <c r="H86" i="12" l="1"/>
  <c r="J88" i="12" s="1"/>
  <c r="C84" i="16"/>
  <c r="C86" i="16"/>
  <c r="C85" i="16"/>
  <c r="C83" i="16"/>
  <c r="C133" i="16"/>
  <c r="C88" i="16" l="1"/>
  <c r="C101" i="16" s="1"/>
  <c r="C103" i="16" s="1"/>
  <c r="C134" i="16" s="1"/>
  <c r="C113" i="3"/>
  <c r="C109" i="11" l="1"/>
  <c r="C113" i="11" s="1"/>
  <c r="C135" i="11" s="1"/>
  <c r="C102" i="11"/>
  <c r="E82" i="11"/>
  <c r="C50" i="11"/>
  <c r="B50" i="11"/>
  <c r="C49" i="11"/>
  <c r="C48" i="11"/>
  <c r="C47" i="11"/>
  <c r="C46" i="11"/>
  <c r="C40" i="11"/>
  <c r="C16" i="11"/>
  <c r="J35" i="10"/>
  <c r="J38" i="10" s="1"/>
  <c r="C28" i="10"/>
  <c r="C27" i="10"/>
  <c r="C14" i="10"/>
  <c r="C13" i="10"/>
  <c r="C6" i="10"/>
  <c r="C5" i="10"/>
  <c r="C114" i="9"/>
  <c r="C136" i="9" s="1"/>
  <c r="C103" i="9"/>
  <c r="C50" i="9"/>
  <c r="B50" i="9"/>
  <c r="C49" i="9"/>
  <c r="C48" i="9"/>
  <c r="C47" i="9"/>
  <c r="C46" i="9"/>
  <c r="C40" i="9"/>
  <c r="C16" i="9"/>
  <c r="C25" i="9" l="1"/>
  <c r="C51" i="11"/>
  <c r="C59" i="11" s="1"/>
  <c r="C25" i="11"/>
  <c r="C131" i="11"/>
  <c r="C24" i="11"/>
  <c r="C132" i="9"/>
  <c r="C24" i="9"/>
  <c r="C60" i="9" l="1"/>
  <c r="C26" i="9"/>
  <c r="C26" i="11"/>
  <c r="C57" i="11" s="1"/>
  <c r="D38" i="11"/>
  <c r="D32" i="11"/>
  <c r="C66" i="11"/>
  <c r="D36" i="11"/>
  <c r="D39" i="11"/>
  <c r="D34" i="11"/>
  <c r="D37" i="11"/>
  <c r="D35" i="11"/>
  <c r="D33" i="9"/>
  <c r="D32" i="9"/>
  <c r="D68" i="9" l="1"/>
  <c r="D69" i="9"/>
  <c r="D37" i="9"/>
  <c r="D39" i="9"/>
  <c r="D36" i="9"/>
  <c r="D35" i="9"/>
  <c r="D34" i="9"/>
  <c r="D38" i="9"/>
  <c r="C58" i="9"/>
  <c r="D33" i="11"/>
  <c r="C67" i="11"/>
  <c r="C68" i="11" s="1"/>
  <c r="C72" i="11"/>
  <c r="D40" i="11"/>
  <c r="D40" i="9" l="1"/>
  <c r="C58" i="11"/>
  <c r="C60" i="11" s="1"/>
  <c r="C69" i="11"/>
  <c r="D70" i="9" l="1"/>
  <c r="C59" i="9"/>
  <c r="C61" i="9" s="1"/>
  <c r="C70" i="11"/>
  <c r="C71" i="11" s="1"/>
  <c r="C132" i="11"/>
  <c r="C133" i="9" l="1"/>
  <c r="D71" i="9"/>
  <c r="C70" i="9"/>
  <c r="C73" i="11"/>
  <c r="C71" i="9" l="1"/>
  <c r="D72" i="9"/>
  <c r="D74" i="9" s="1"/>
  <c r="C133" i="11"/>
  <c r="C86" i="11"/>
  <c r="C82" i="11"/>
  <c r="C84" i="11"/>
  <c r="C83" i="11"/>
  <c r="C85" i="11"/>
  <c r="C87" i="9" l="1"/>
  <c r="C86" i="9"/>
  <c r="C85" i="9"/>
  <c r="C84" i="9"/>
  <c r="C134" i="9"/>
  <c r="C88" i="11"/>
  <c r="C101" i="11" s="1"/>
  <c r="C103" i="11" s="1"/>
  <c r="C89" i="9" l="1"/>
  <c r="C102" i="9" s="1"/>
  <c r="C104" i="9" s="1"/>
  <c r="D120" i="9" s="1"/>
  <c r="C134" i="11"/>
  <c r="C136" i="11" s="1"/>
  <c r="D119" i="11"/>
  <c r="C135" i="9" l="1"/>
  <c r="D121" i="9" s="1"/>
  <c r="C137" i="11"/>
  <c r="C138" i="11" s="1"/>
  <c r="C137" i="9" l="1"/>
  <c r="D123" i="9" s="1"/>
  <c r="D124" i="11"/>
  <c r="D122" i="11"/>
  <c r="D120" i="11"/>
  <c r="D125" i="9" l="1"/>
  <c r="D126" i="9" s="1"/>
  <c r="C138" i="9" s="1"/>
  <c r="C139" i="9" s="1"/>
  <c r="D125" i="11"/>
  <c r="B6" i="13" l="1"/>
  <c r="D6" i="13" s="1"/>
  <c r="D43" i="10"/>
  <c r="F6" i="10"/>
  <c r="G6" i="10" s="1"/>
  <c r="C46" i="3"/>
  <c r="C50" i="3" l="1"/>
  <c r="B50" i="3"/>
  <c r="C16" i="3" l="1"/>
  <c r="C132" i="3" l="1"/>
  <c r="C49" i="3"/>
  <c r="C48" i="3"/>
  <c r="C47" i="3"/>
  <c r="C40" i="3"/>
  <c r="C25" i="3"/>
  <c r="C24" i="3"/>
  <c r="C60" i="3" l="1"/>
  <c r="C26" i="3"/>
  <c r="D67" i="3" l="1"/>
  <c r="D68" i="3"/>
  <c r="D69" i="3"/>
  <c r="D32" i="3"/>
  <c r="D38" i="3"/>
  <c r="D37" i="3"/>
  <c r="D39" i="3"/>
  <c r="D34" i="3"/>
  <c r="D33" i="3"/>
  <c r="C58" i="3"/>
  <c r="D35" i="3"/>
  <c r="D36" i="3"/>
  <c r="D40" i="3" l="1"/>
  <c r="D70" i="3" s="1"/>
  <c r="D71" i="3" l="1"/>
  <c r="D72" i="3" s="1"/>
  <c r="C70" i="3"/>
  <c r="C59" i="3"/>
  <c r="C61" i="3" s="1"/>
  <c r="D74" i="3" l="1"/>
  <c r="C134" i="3" s="1"/>
  <c r="C71" i="3"/>
  <c r="C133" i="3"/>
  <c r="C86" i="3" l="1"/>
  <c r="C84" i="3"/>
  <c r="C85" i="3"/>
  <c r="C87" i="3"/>
  <c r="C89" i="3" l="1"/>
  <c r="C102" i="3" s="1"/>
  <c r="C104" i="3" s="1"/>
  <c r="C135" i="3" s="1"/>
  <c r="F43" i="10"/>
  <c r="F14" i="10" l="1"/>
  <c r="G14" i="10" l="1"/>
  <c r="F20" i="10"/>
  <c r="G20" i="10" l="1"/>
  <c r="F28" i="10"/>
  <c r="G28" i="10" s="1"/>
  <c r="C113" i="16" l="1"/>
  <c r="C135" i="16" l="1"/>
  <c r="C136" i="16" s="1"/>
  <c r="D119" i="16"/>
  <c r="C114" i="3"/>
  <c r="D120" i="16" l="1"/>
  <c r="D122" i="16" s="1"/>
  <c r="C136" i="3"/>
  <c r="D120" i="3"/>
  <c r="D124" i="16" l="1"/>
  <c r="D125" i="16" s="1"/>
  <c r="C137" i="16" s="1"/>
  <c r="C138" i="16" s="1"/>
  <c r="D121" i="3"/>
  <c r="C137" i="3"/>
  <c r="B5" i="13" l="1"/>
  <c r="D5" i="13" s="1"/>
  <c r="D42" i="10"/>
  <c r="F42" i="10" s="1"/>
  <c r="D125" i="3"/>
  <c r="D123" i="3"/>
  <c r="F19" i="10" l="1"/>
  <c r="E5" i="13"/>
  <c r="D126" i="3"/>
  <c r="C138" i="3" s="1"/>
  <c r="C139" i="3" s="1"/>
  <c r="D41" i="10" s="1"/>
  <c r="B4" i="13" l="1"/>
  <c r="D4" i="13" s="1"/>
  <c r="F5" i="10"/>
  <c r="G5" i="10" s="1"/>
  <c r="G7" i="10" s="1"/>
  <c r="E4" i="13" l="1"/>
  <c r="E8" i="13" s="1"/>
  <c r="E9" i="13" s="1"/>
  <c r="D8" i="13"/>
  <c r="F13" i="10"/>
  <c r="G13" i="10" s="1"/>
  <c r="G15" i="10" s="1"/>
  <c r="D35" i="10" s="1"/>
  <c r="F41" i="10"/>
  <c r="D34" i="10"/>
  <c r="C14" i="13" l="1"/>
  <c r="D14" i="13" s="1"/>
  <c r="G34" i="10"/>
  <c r="C17" i="13"/>
  <c r="D17" i="13" s="1"/>
  <c r="G35" i="10"/>
  <c r="D9" i="13"/>
  <c r="G44" i="10"/>
  <c r="G19" i="10"/>
  <c r="G21" i="10" s="1"/>
  <c r="F27" i="10"/>
  <c r="G27" i="10" s="1"/>
  <c r="G29" i="10" s="1"/>
  <c r="D37" i="10" s="1"/>
  <c r="F44" i="10"/>
  <c r="E17" i="13" l="1"/>
  <c r="E14" i="13"/>
  <c r="C15" i="13"/>
  <c r="D15" i="13" s="1"/>
  <c r="G37" i="10"/>
  <c r="C16" i="13"/>
  <c r="D16" i="13" s="1"/>
  <c r="G36" i="10"/>
  <c r="G38" i="10"/>
  <c r="F46" i="10" s="1"/>
  <c r="H38" i="10" l="1"/>
  <c r="E16" i="13"/>
  <c r="E15" i="13"/>
  <c r="E19" i="13" s="1"/>
  <c r="D19" i="13"/>
</calcChain>
</file>

<file path=xl/sharedStrings.xml><?xml version="1.0" encoding="utf-8"?>
<sst xmlns="http://schemas.openxmlformats.org/spreadsheetml/2006/main" count="1017" uniqueCount="296">
  <si>
    <t>Adicional Noturno</t>
  </si>
  <si>
    <t>Total</t>
  </si>
  <si>
    <t>Férias</t>
  </si>
  <si>
    <t>SEBRAE</t>
  </si>
  <si>
    <t>INCRA</t>
  </si>
  <si>
    <t>FGTS</t>
  </si>
  <si>
    <t>TOTAL</t>
  </si>
  <si>
    <t>Insumos Diversos</t>
  </si>
  <si>
    <t>Custos Indiretos, Tributos e Lucro</t>
  </si>
  <si>
    <t>Custos Indiretos</t>
  </si>
  <si>
    <t>Tributos</t>
  </si>
  <si>
    <t>Lucro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</si>
  <si>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</si>
  <si>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</si>
  <si>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</si>
  <si>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</si>
  <si>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</si>
  <si>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</si>
  <si>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Adicional de Periculosidade</t>
  </si>
  <si>
    <t>C</t>
  </si>
  <si>
    <t>Adicional de Insalubridade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</si>
  <si>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</si>
  <si>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</si>
  <si>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</si>
  <si>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</si>
  <si>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</si>
  <si>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</si>
  <si>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</si>
  <si>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</si>
  <si>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</si>
  <si>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</si>
  <si>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</si>
  <si>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</si>
  <si>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</si>
  <si>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</si>
  <si>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</si>
  <si>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</si>
  <si>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</si>
  <si>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</si>
  <si>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</si>
  <si>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</si>
  <si>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</si>
  <si>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</si>
  <si>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</si>
  <si>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</si>
  <si>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</si>
  <si>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</si>
  <si>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</si>
  <si>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Auxílio-Refeição/Alimentação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</si>
  <si>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</si>
  <si>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</si>
  <si>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</si>
  <si>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</si>
  <si>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</si>
  <si>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</si>
  <si>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</si>
  <si>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</si>
  <si>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</si>
  <si>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</si>
  <si>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</si>
  <si>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</si>
  <si>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</si>
  <si>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</si>
  <si>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</si>
  <si>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</si>
  <si>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</si>
  <si>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</si>
  <si>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</si>
  <si>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</si>
  <si>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</si>
  <si>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</si>
  <si>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</si>
  <si>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</si>
  <si>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Equipamentos</t>
  </si>
  <si>
    <t>Módulo 6 - Custos Indiretos, Tributos e Lucro</t>
  </si>
  <si>
    <t>C.2. Tributos Estaduais (especificar)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</si>
  <si>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</si>
  <si>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</si>
  <si>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</si>
  <si>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</si>
  <si>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</si>
  <si>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</si>
  <si>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</si>
  <si>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Com ajustes após publicação da Lei n° 13.467, de 2017.</t>
  </si>
  <si>
    <t>Intervalo para repouso e alimentação</t>
  </si>
  <si>
    <t>Benefício cesta básica</t>
  </si>
  <si>
    <t>Outros assistencia familiar</t>
  </si>
  <si>
    <t>Incidência do FGTS sobre o Aviso Prévio Trabalhado</t>
  </si>
  <si>
    <t>C.1. Tributos Federais pis e cofins</t>
  </si>
  <si>
    <t>C.3. Tributos Municipais - ISS</t>
  </si>
  <si>
    <t>mão de obra</t>
  </si>
  <si>
    <t>Produtividade</t>
  </si>
  <si>
    <t>Preço homem mês</t>
  </si>
  <si>
    <t>Plano odontologico</t>
  </si>
  <si>
    <t>Servente</t>
  </si>
  <si>
    <t>frequencia de limpeza</t>
  </si>
  <si>
    <t>jornada no Mês</t>
  </si>
  <si>
    <t>total</t>
  </si>
  <si>
    <t>Numero funcionários</t>
  </si>
  <si>
    <t>proutividade</t>
  </si>
  <si>
    <t>produtividade</t>
  </si>
  <si>
    <t>Area diária a ser limpa (mt)</t>
  </si>
  <si>
    <t>Produtividade diária M2</t>
  </si>
  <si>
    <t>Funcionario</t>
  </si>
  <si>
    <t>valor Unitário</t>
  </si>
  <si>
    <t>Valor mensal</t>
  </si>
  <si>
    <t>Quantidade</t>
  </si>
  <si>
    <t>Valor total</t>
  </si>
  <si>
    <t>Tipo de serviço</t>
  </si>
  <si>
    <t>Multa do FGTS - provisão mensal</t>
  </si>
  <si>
    <t>Valor metro</t>
  </si>
  <si>
    <t>Ajuste referente aos funcionáios:</t>
  </si>
  <si>
    <t>ITEM</t>
  </si>
  <si>
    <t>DESCRIÇÃO</t>
  </si>
  <si>
    <t>UNIDADE</t>
  </si>
  <si>
    <t>QTD MENSAL</t>
  </si>
  <si>
    <t>QTD TOTAL</t>
  </si>
  <si>
    <t>PREÇO MÉDIO UNITÁRIO (R$)</t>
  </si>
  <si>
    <t>CUSTO MÉDIO MENSAL (R$)</t>
  </si>
  <si>
    <t>CUSTO MÉDIO ANUAL (R$)</t>
  </si>
  <si>
    <t>TOTAL GERAL</t>
  </si>
  <si>
    <t>Proposta--------------------------&gt;&gt;&gt;&gt;&gt;&gt;&gt;&gt;&gt;&gt;&gt;&gt;&gt;&gt;</t>
  </si>
  <si>
    <t>MEDIDA</t>
  </si>
  <si>
    <t>QTD</t>
  </si>
  <si>
    <t>Valor Unitário</t>
  </si>
  <si>
    <t>Valor Mensal</t>
  </si>
  <si>
    <t>Valor Total</t>
  </si>
  <si>
    <t>PAR</t>
  </si>
  <si>
    <t>Chapéu tipo pescador com protetor de pescoço</t>
  </si>
  <si>
    <t>Utensilios</t>
  </si>
  <si>
    <t>Proposta MENSAL</t>
  </si>
  <si>
    <t>%</t>
  </si>
  <si>
    <t>Valor</t>
  </si>
  <si>
    <t>Incidência dos encargos do sub módulo 2.2 sobre o aviso prévio trabalhado</t>
  </si>
  <si>
    <t>material</t>
  </si>
  <si>
    <t>encarregado</t>
  </si>
  <si>
    <t>Encarregado</t>
  </si>
  <si>
    <t xml:space="preserve">RELAÇÃO DE MATERIAIS </t>
  </si>
  <si>
    <t>Referencia IN 05</t>
  </si>
  <si>
    <t>800-1200m</t>
  </si>
  <si>
    <t>300-380M</t>
  </si>
  <si>
    <t>Espaços livres - saguão, hall e salã</t>
  </si>
  <si>
    <t>PISOS FRIOS</t>
  </si>
  <si>
    <t>BANHEIROS</t>
  </si>
  <si>
    <t>1000-1500</t>
  </si>
  <si>
    <t>Programa de Qualificação Profissional</t>
  </si>
  <si>
    <t>Aréas externas</t>
  </si>
  <si>
    <t>1500-2700</t>
  </si>
  <si>
    <t>Servente Banheirista</t>
  </si>
  <si>
    <t>Material</t>
  </si>
  <si>
    <t>Água sanitária, composição química hipoclorito de sódio, hidróxido de sódio, cloreto, teor cloro ativo varia de 2 a 2,50%, classe corrosivo classe 8, número risco 85, risco saúde 3, corrosividade 1, peso molecular cloro 74,50, densidade de 1,20 a 1 g/l, cor incolor, aplicação lavagem e alvejante de roupas, banheiras, pias.</t>
  </si>
  <si>
    <t>Álcool gel 70% INPM etílico antisséptico glicerinado galão 5 litros</t>
  </si>
  <si>
    <t>Álcool líquido 70° 1 litro</t>
  </si>
  <si>
    <t>Ancinho para jardim 40cm</t>
  </si>
  <si>
    <t>Aromatizantes de ambientes concentrato liquido</t>
  </si>
  <si>
    <t xml:space="preserve">Balde plastico de 10 litros </t>
  </si>
  <si>
    <t xml:space="preserve">Balde plastico de 20 litros </t>
  </si>
  <si>
    <t>Cera acrílica autobrilhante, antiderrapante (incolor)</t>
  </si>
  <si>
    <t>Lixeira cesto plástico telado para armazenamento do lixo seco. capacidade: 10l. cor: preta. medidas: (dxa) 250mm x 255mm</t>
  </si>
  <si>
    <t>Cesto de lixo para coleta seletiva  de 60 litros- jogo com 4 unidades com suporte</t>
  </si>
  <si>
    <t xml:space="preserve">Capa Chuva Material: 30% Poliamida E 70% Policloreto De Vinila , Tipo Uso: Operacional </t>
  </si>
  <si>
    <t>Contentor de lixo de 120 litros com rodas</t>
  </si>
  <si>
    <t>Desentupidor de vaso sanitário</t>
  </si>
  <si>
    <t>Desengraxante líquido pra uso geral</t>
  </si>
  <si>
    <t>Desinfetante concentrado líquido limpeza em geral, embalagem em 5 litros.</t>
  </si>
  <si>
    <t>Desodorizador de ar, spray cada unidade contendo 400 ml</t>
  </si>
  <si>
    <t xml:space="preserve">Desodorizador para vaso sanitário- pastilha  adesiva-lavanda </t>
  </si>
  <si>
    <t>Detergente neutro emblagem em 5 litro</t>
  </si>
  <si>
    <t>Dispenser para alcool gel em aço inox com pressão - 500 ml</t>
  </si>
  <si>
    <t xml:space="preserve">Dispenser para sabonete líquido em plastico 500 ml </t>
  </si>
  <si>
    <t xml:space="preserve">Escova de mão multiuso com cepa plastica em formato oval,cerdas de naylon </t>
  </si>
  <si>
    <t>Escova sanitária com recipiente 9x34 cm</t>
  </si>
  <si>
    <t>Espanador de teto cabo extensivo até 2,5</t>
  </si>
  <si>
    <t xml:space="preserve">Esponja de fibra com dupla face </t>
  </si>
  <si>
    <t>Esponja de fibra uso geral-profissional 10x26</t>
  </si>
  <si>
    <t>Extensão de 50mt 3 entradas 10A</t>
  </si>
  <si>
    <t xml:space="preserve">Flanela 100% algodao medindo 38x58cm, na cor laranja </t>
  </si>
  <si>
    <t>Frasco borrifador de plástico 500ml</t>
  </si>
  <si>
    <t>funil de plastico n° 5 (19 a 20 cm de diametro)</t>
  </si>
  <si>
    <t>Limpa vidros com álcool embalagem de 5 litros</t>
  </si>
  <si>
    <t>Lixeira Basculante de 60 litros (Alt 91 cm x Larg 1,49cm x Profund 37 cm) c/ Tampa vai-e-vem. Cor BRANCA</t>
  </si>
  <si>
    <t>Lixeira Basculante de 60 litros (Alt 91 cm x Larg 1,49cm x Profund 37 cm) c/ Tampa vai-e-vem. Cor MARROM</t>
  </si>
  <si>
    <t>Lixeira Basculante de 60 litros (Alt 91 cm x Larg 1,49cm x Profund 37 cm) c/ Tampa vai-e-vem. Cor VERDE</t>
  </si>
  <si>
    <t>Lixeira Basculante de 60 litros (Alt 91 cm x Larg 1,49cm x Profund 37 cm) c/ Tampa vai-e-vem. Cor VERMELHA</t>
  </si>
  <si>
    <t>Lixeira Basculante de 60 litros (Alt 91 cm x Larg 1,49cm x Profund 37 cm) c/ Tampa vai-e-vem. Cor AMARELA</t>
  </si>
  <si>
    <t>Lixeira Basculante de 60 litros (Alt 91 cm x Larg 1,49cm x Profund 37 cm) c/ Tampa vai-e-vem. Cor AZUL</t>
  </si>
  <si>
    <t>Lustra móveis lavanda 200 ml</t>
  </si>
  <si>
    <t>Luva de Algodão Tricotada</t>
  </si>
  <si>
    <t>Luva Descartável p/ procedimentos não cirúrgicos. Em látex 100% natural, sem talco. (cx 100 und)</t>
  </si>
  <si>
    <t>Luva de proteção em Látex amarela Cano Longo  8-M</t>
  </si>
  <si>
    <t>Luva de proteção em Látex amarela Cano Longo 9-G</t>
  </si>
  <si>
    <t>Luva de proteção em Látex amarela Cano Longo 7- P</t>
  </si>
  <si>
    <t>Luva Pigmentada preto</t>
  </si>
  <si>
    <t>Mangueira para jardim 50m</t>
  </si>
  <si>
    <t>mascara de proteção facial n95</t>
  </si>
  <si>
    <t>Mop Abrasivo com cabo-limpeza geral</t>
  </si>
  <si>
    <t>Naftalina pacote de 500g.</t>
  </si>
  <si>
    <t>Óculos de proteção lente incolor em policarbonato, antiembassante e antirisco</t>
  </si>
  <si>
    <t>Pá de Lixo com cabo</t>
  </si>
  <si>
    <t>Palha de aço nº 02</t>
  </si>
  <si>
    <t>Pano de chão tamanho 50 X 70 cm alvejado 100 algodão</t>
  </si>
  <si>
    <t>Pano de prato de algodão100% algodão, medindo 40 x 70cm.</t>
  </si>
  <si>
    <t>Rolo de pano multiuso tamanho 28x300mm azul</t>
  </si>
  <si>
    <t>Papel higiênico branco, 10cm x300m, fardo com 8 rolos.</t>
  </si>
  <si>
    <t>Papel toalha branco interfolha, 100% celulose, 20x20x c/1000 folhas - branco</t>
  </si>
  <si>
    <t>Placa sinalizadora para banheiro</t>
  </si>
  <si>
    <t>Porta Rolão Papel Higiênico em Plástico ABS para Rolos de  300m</t>
  </si>
  <si>
    <t>Porta papel toalha branco de 2 ou 3 dobras interfolhas 20x21cm</t>
  </si>
  <si>
    <t>Refil Mop Pó 60cm</t>
  </si>
  <si>
    <t>Refil para mop abrasivo</t>
  </si>
  <si>
    <t>Rodo em plastico de 45cm</t>
  </si>
  <si>
    <t>Rodo em plastico de 60cm com cabo</t>
  </si>
  <si>
    <t>Sabão em barra, pacote com 05 unid de 200 gramas.</t>
  </si>
  <si>
    <t>Sabão em pó , pacote 500 gr</t>
  </si>
  <si>
    <t>Sabonete Liquido Antisséptico embalagem em 5 litros</t>
  </si>
  <si>
    <t>Saco plástico preto para lixo capacidade 30 litros, embalagem lacrada, pacote com 10 unidades cada.</t>
  </si>
  <si>
    <t>Saco plástico preto para lixo, capacidade 100 litros, espessura mínima 9mm 9 de micra, levando e conta os dois lados do saco, embalagem lacrada, pacote com 05 unidades cada.</t>
  </si>
  <si>
    <t>Saco plástico preto para lixo, capacidade 200 litros, espessura mínima 9mm 9 de micra, levando e conta os dois lados do saco, embalagem lacrada, pacote com 05 unidades cada.</t>
  </si>
  <si>
    <t>Saco plástico preto para lixo, capacidade 50 litros, espessura mínima 9mm 9 de micra, levando e conta os dois lados do saco, embalagem lacrada, pacote com 05 unidades cada.</t>
  </si>
  <si>
    <t>Tesoura de poda para uso geral 35 cm</t>
  </si>
  <si>
    <t>Vassoura de Piaçava de 30cm</t>
  </si>
  <si>
    <t>Vassoura de Piaçava de 60cm</t>
  </si>
  <si>
    <t>Vassoura escovão com cabo de 60cm</t>
  </si>
  <si>
    <t>Vassoura para jardim 22 dentes com cabo, palheta regulado com aço temperado</t>
  </si>
  <si>
    <t>Veja multiuso antiestatico 500ML</t>
  </si>
  <si>
    <t>Rolo de Papel filme PVC  28x100</t>
  </si>
  <si>
    <t>Carrinho de limpeza MOP</t>
  </si>
  <si>
    <t>GALÃO 5L</t>
  </si>
  <si>
    <t>FRASCO 1 LITRO</t>
  </si>
  <si>
    <t>caixa com 3 unidades</t>
  </si>
  <si>
    <t>CAIXA 100 UNID</t>
  </si>
  <si>
    <t>PACOTE</t>
  </si>
  <si>
    <t>FARDO</t>
  </si>
  <si>
    <t>Calça uniforme profissional   com elástico, Bolsos frontais - Brim preto.</t>
  </si>
  <si>
    <r>
      <t xml:space="preserve">Camisa - Uniforme profissional com manga curta e  Gola Italiana,  </t>
    </r>
    <r>
      <rPr>
        <b/>
        <sz val="11"/>
        <rFont val="Calibri"/>
        <family val="2"/>
        <scheme val="minor"/>
      </rPr>
      <t>com emblema da empresa e nome do Posto pintados no bolso (Ex: Ag. Limpeza) -</t>
    </r>
    <r>
      <rPr>
        <sz val="11"/>
        <rFont val="Calibri"/>
        <family val="2"/>
        <scheme val="minor"/>
      </rPr>
      <t xml:space="preserve"> Tecido:  Brim 100% algodão na cor Cinza.</t>
    </r>
  </si>
  <si>
    <t>Meias, padrão sport, tecido Algodão, cor preta.</t>
  </si>
  <si>
    <t>Calçado feminino de segurança de couro,  com biqueira de polipropileno, elástico nas lateriais, palmilha antibacteriana.</t>
  </si>
  <si>
    <t xml:space="preserve">Crachá de identificação com Foto ,em PVC, com presilha jacaré. </t>
  </si>
  <si>
    <t>PREÇO MÉDIO ESTIMADO
UNIT. (R$)</t>
  </si>
  <si>
    <t>QTDE.
ANUAL</t>
  </si>
  <si>
    <t>CUSTO MENSAL
POR POSTO (R$)</t>
  </si>
  <si>
    <t>Camisa - Uniforme Profissional Manga Longa com elástico no punho, Gola Italiana com emblema da empresa e nome do Posto pintados no bolso (Ex: Ag. Limpeza) - Tecido:  Brim 100% algodão na cor Cinza.</t>
  </si>
  <si>
    <t>Calçado masculino (tipo botina) de segurança de couro,  com biqueira de polipropileno, elástico nas lateriais, palmilha antibacteriana.</t>
  </si>
  <si>
    <t xml:space="preserve">protetor de ouvido </t>
  </si>
  <si>
    <t>Cinta Lombar/ergonômica abdominal para carga e descarga (Vida útil 5 anos)</t>
  </si>
  <si>
    <t>TOTAL - R$</t>
  </si>
  <si>
    <t>FARDAMENTOS  MASCULINO</t>
  </si>
  <si>
    <t>FARDAMENTOS  FEMININO</t>
  </si>
  <si>
    <t>MEDIA DO UNIFORME</t>
  </si>
  <si>
    <t>VALOR MENSAL</t>
  </si>
  <si>
    <t>Lavadora/Enceradeira Industrial completa com acessórios (escova para limpeza, base suporte com velcro, Discos de Piso para Limpeza)</t>
  </si>
  <si>
    <t>Lavadora de alta pressão compacta 2 rodas, no minimo de potencia 1,5 kW. Tipo semi-profissional, 110V . Modelo equivalente, ou similar e ou de melhor qualidade  à KARCHER.</t>
  </si>
  <si>
    <t>Soprador de Folhas - Manual Gasolina 27,2cc - 700w . Modelo equivalente, ou similar e ou de melhor qualidade ao STIHL BG-50.</t>
  </si>
  <si>
    <t xml:space="preserve">Aspirador de pó industrial </t>
  </si>
  <si>
    <t>escada de  06 degraus alumínio</t>
  </si>
  <si>
    <t xml:space="preserve">escada de dois lance 06 mt  fibra </t>
  </si>
  <si>
    <t>BICICLETA ELÉTRICA ARO 24, AUTONOMIA ENTRE 35 E 50 km, VELOCIDADE MÁXIMA 35KMH.</t>
  </si>
  <si>
    <t>CÓD.
RECEITA
FEDERAL</t>
  </si>
  <si>
    <t>VIDA ÚTIL
(ANOS)</t>
  </si>
  <si>
    <t>TX ANUAL
DEPRECIAÇÃO</t>
  </si>
  <si>
    <t>PREÇO MÉDIO
UNIT. (R$)</t>
  </si>
  <si>
    <t>QUANT.</t>
  </si>
  <si>
    <t>VALOR
RESIDUAL</t>
  </si>
  <si>
    <t>VLR. DEPREC.
ANUAL R$</t>
  </si>
  <si>
    <t>VLR. DEPREC.
MENSAL R$</t>
  </si>
  <si>
    <t>TX MENSAL DE MANUTENÇÃO
MENSAL R$
(0,72 % a.m)</t>
  </si>
  <si>
    <t>VLR. TOTAL MENSAL DE
DEPRECIAÇÃO &amp; MANUTENÇÃO R$</t>
  </si>
  <si>
    <t>CUSTO POR POSTO (20)</t>
  </si>
  <si>
    <t>Servente banheirista</t>
  </si>
  <si>
    <t>RELAÇÃO DE UNIFORMES</t>
  </si>
  <si>
    <t>Marca</t>
  </si>
  <si>
    <t xml:space="preserve">Serviços de limpeza e
Conservação áreas
Internas pisos frios
produtividade de 1.200
metros quadrados/diários.
</t>
  </si>
  <si>
    <t xml:space="preserve">Serviços de limpeza e
Conservação áreas
externas - produtividade de
2700 metros
quadrados/diários
</t>
  </si>
  <si>
    <t xml:space="preserve">Serviços de limpeza e
Conservação áreas
Internas - Banheiros
produtividade de 380
metros quadrados/diários
</t>
  </si>
  <si>
    <t xml:space="preserve">Serviços de limpeza e
Conservação áreas
Internas - Espaços livres -
saguão, hall e salão
produtividade de 1.500
metros quadrados/diários
</t>
  </si>
  <si>
    <t>Item</t>
  </si>
  <si>
    <t>quantidade m2</t>
  </si>
  <si>
    <t>Valor unitário</t>
  </si>
  <si>
    <t>Proposta por metro quadrado</t>
  </si>
  <si>
    <t>Material conforme planilha</t>
  </si>
  <si>
    <t>Valor da proposta-------------------------------&gt;&gt;&gt;&gt;&gt;&gt;&gt;&gt;&gt;&gt;&gt;&gt;</t>
  </si>
  <si>
    <t>Valor 12 meses</t>
  </si>
  <si>
    <t>Proposta por posto</t>
  </si>
  <si>
    <t>PROPOSTA 12 meses</t>
  </si>
  <si>
    <t>Planilha para preços referencial</t>
  </si>
  <si>
    <t> Tipo de área</t>
  </si>
  <si>
    <t>Empresa L.G. SERVIÇOS PROFISSIONAIS LTDA</t>
  </si>
  <si>
    <t>Empresa FENIX SERVICOS E SANEAMENTO LTDA</t>
  </si>
  <si>
    <t>Empresa VERTICAL TERCEIRIZAÇÃO DE SERVIÇOS LTDA</t>
  </si>
  <si>
    <t>planilha elabarada IFAM</t>
  </si>
  <si>
    <t>Painel de preços do Gov Fed</t>
  </si>
  <si>
    <t>Média (preço referencial)</t>
  </si>
  <si>
    <t>Espaços livres - saguão, hall e salão</t>
  </si>
  <si>
    <t>Áreas externas</t>
  </si>
  <si>
    <t>Material cotado painel de preços -----------------------------------------------------&gt;&gt;&gt;&gt;&gt;&gt;&gt;&gt;&gt;&gt;&gt;&gt;&gt;</t>
  </si>
  <si>
    <t>Total---------------------------------------&gt;&gt;&gt;&gt;&gt;&gt;&gt;&gt;&gt;&gt;&gt;&gt;&gt;&gt;&gt;&gt;&gt;&gt;&gt;&gt;&gt;&gt;&gt;&gt;&gt;&gt;&gt;&gt;&gt;&gt;&gt;&gt;&gt;&gt;&gt;&gt;&gt;&gt;&gt;&gt;&gt;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</si>
</sst>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-* #,##0.0000000_-;\-* #,##0.0000000_-;_-* &quot;-&quot;??_-;_-@_-"/>
    <numFmt numFmtId="166" formatCode="_-* #,##0.00000000_-;\-* #,##0.00000000_-;_-* &quot;-&quot;??_-;_-@_-"/>
    <numFmt numFmtId="167" formatCode="_-[$R$-416]\ * #,##0.00_-;\-[$R$-416]\ * #,##0.00_-;_-[$R$-416]\ * &quot;-&quot;??_-;_-@_-"/>
    <numFmt numFmtId="168" formatCode="_-&quot;R$&quot;* #,##0.00_-;\-&quot;R$&quot;* #,##0.00_-;_-&quot;R$&quot;* &quot;-&quot;??_-;_-@_-"/>
    <numFmt numFmtId="169" formatCode="0.0000%"/>
    <numFmt numFmtId="170" formatCode="_-* #,##0.00000_-;\-* #,##0.00000_-;_-* &quot;-&quot;??_-;_-@_-"/>
    <numFmt numFmtId="171" formatCode="_-* #,##0.000000_-;\-* #,##0.000000_-;_-* &quot;-&quot;??_-;_-@_-"/>
    <numFmt numFmtId="172" formatCode="_-* #,##0.0_-;\-* #,##0.0_-;_-* &quot;-&quot;??_-;_-@_-"/>
    <numFmt numFmtId="173" formatCode="_-* #,##0.0_-;\-* #,##0.0_-;_-* &quot;-&quot;?_-;_-@_-"/>
    <numFmt numFmtId="174" formatCode="#,##0.00_ ;[Red]\-#,##0.00\ "/>
    <numFmt numFmtId="175" formatCode="#,##0_ ;[Red]\-#,##0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8"/>
      <color theme="0"/>
      <name val="Times New Roman"/>
      <family val="1"/>
    </font>
    <font>
      <b/>
      <sz val="14"/>
      <color theme="1"/>
      <name val="Corbel"/>
      <family val="2"/>
    </font>
    <font>
      <sz val="10"/>
      <color theme="1"/>
      <name val="Corbe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ordel"/>
    </font>
    <font>
      <sz val="10"/>
      <color theme="1"/>
      <name val="Cordel"/>
    </font>
    <font>
      <sz val="11"/>
      <color theme="1"/>
      <name val="Cordel"/>
    </font>
    <font>
      <b/>
      <sz val="11"/>
      <color theme="1"/>
      <name val="CorDEL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0"/>
      <color theme="0"/>
      <name val="Corbe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ordel"/>
    </font>
    <font>
      <sz val="10"/>
      <color rgb="FF333333"/>
      <name val="Arial"/>
      <family val="2"/>
    </font>
    <font>
      <sz val="10"/>
      <color rgb="FF000000"/>
      <name val="Calibri"/>
      <family val="2"/>
    </font>
    <font>
      <sz val="10"/>
      <color theme="1"/>
      <name val="Corbel"/>
    </font>
    <font>
      <sz val="14"/>
      <color theme="1"/>
      <name val="Corbel"/>
    </font>
    <font>
      <sz val="12"/>
      <color theme="1"/>
      <name val="Corbel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theme="1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DEBF7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5"/>
      </left>
      <right/>
      <top style="thin">
        <color theme="5"/>
      </top>
      <bottom style="double">
        <color theme="5"/>
      </bottom>
      <diagonal/>
    </border>
    <border>
      <left/>
      <right/>
      <top style="thin">
        <color theme="5"/>
      </top>
      <bottom style="double">
        <color theme="5"/>
      </bottom>
      <diagonal/>
    </border>
    <border>
      <left/>
      <right style="thin">
        <color theme="5"/>
      </right>
      <top style="thin">
        <color theme="5"/>
      </top>
      <bottom style="double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8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9" applyNumberFormat="0" applyAlignment="0" applyProtection="0"/>
    <xf numFmtId="0" fontId="13" fillId="7" borderId="10" applyNumberFormat="0" applyAlignment="0" applyProtection="0"/>
    <xf numFmtId="0" fontId="14" fillId="7" borderId="9" applyNumberFormat="0" applyAlignment="0" applyProtection="0"/>
    <xf numFmtId="0" fontId="15" fillId="0" borderId="11" applyNumberFormat="0" applyFill="0" applyAlignment="0" applyProtection="0"/>
    <xf numFmtId="0" fontId="16" fillId="8" borderId="12" applyNumberFormat="0" applyAlignment="0" applyProtection="0"/>
    <xf numFmtId="0" fontId="17" fillId="0" borderId="0" applyNumberFormat="0" applyFill="0" applyBorder="0" applyAlignment="0" applyProtection="0"/>
    <xf numFmtId="0" fontId="1" fillId="9" borderId="13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43" fontId="3" fillId="0" borderId="16" xfId="2" applyFont="1" applyBorder="1" applyAlignment="1">
      <alignment horizontal="center" vertical="center" wrapText="1"/>
    </xf>
    <xf numFmtId="43" fontId="3" fillId="0" borderId="16" xfId="0" applyNumberFormat="1" applyFont="1" applyBorder="1" applyAlignment="1">
      <alignment horizontal="center" vertical="center" wrapText="1"/>
    </xf>
    <xf numFmtId="10" fontId="3" fillId="34" borderId="16" xfId="1" applyNumberFormat="1" applyFont="1" applyFill="1" applyBorder="1" applyAlignment="1">
      <alignment horizontal="center" vertical="center" wrapText="1"/>
    </xf>
    <xf numFmtId="43" fontId="3" fillId="0" borderId="0" xfId="0" applyNumberFormat="1" applyFont="1"/>
    <xf numFmtId="43" fontId="3" fillId="0" borderId="0" xfId="2" applyFont="1"/>
    <xf numFmtId="9" fontId="3" fillId="0" borderId="16" xfId="1" applyFont="1" applyBorder="1" applyAlignment="1">
      <alignment horizontal="center" vertical="center" wrapText="1"/>
    </xf>
    <xf numFmtId="43" fontId="3" fillId="0" borderId="16" xfId="2" applyFont="1" applyBorder="1" applyAlignment="1">
      <alignment vertical="center" wrapText="1"/>
    </xf>
    <xf numFmtId="43" fontId="3" fillId="0" borderId="16" xfId="2" applyNumberFormat="1" applyFont="1" applyBorder="1" applyAlignment="1">
      <alignment horizontal="center" vertical="center" wrapText="1"/>
    </xf>
    <xf numFmtId="0" fontId="0" fillId="0" borderId="1" xfId="0" applyBorder="1"/>
    <xf numFmtId="43" fontId="0" fillId="0" borderId="1" xfId="0" applyNumberFormat="1" applyBorder="1"/>
    <xf numFmtId="0" fontId="3" fillId="0" borderId="4" xfId="0" applyFont="1" applyBorder="1" applyAlignment="1">
      <alignment vertical="center" wrapText="1"/>
    </xf>
    <xf numFmtId="43" fontId="3" fillId="0" borderId="3" xfId="2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43" fontId="3" fillId="0" borderId="4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0" fillId="0" borderId="0" xfId="0" applyNumberFormat="1"/>
    <xf numFmtId="43" fontId="19" fillId="0" borderId="1" xfId="0" applyNumberFormat="1" applyFont="1" applyBorder="1"/>
    <xf numFmtId="43" fontId="0" fillId="0" borderId="0" xfId="2" applyFont="1"/>
    <xf numFmtId="14" fontId="3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165" fontId="0" fillId="0" borderId="1" xfId="2" applyNumberFormat="1" applyFont="1" applyBorder="1"/>
    <xf numFmtId="166" fontId="0" fillId="0" borderId="0" xfId="0" applyNumberFormat="1"/>
    <xf numFmtId="0" fontId="0" fillId="0" borderId="0" xfId="0" applyBorder="1"/>
    <xf numFmtId="43" fontId="0" fillId="0" borderId="0" xfId="0" applyNumberFormat="1" applyBorder="1"/>
    <xf numFmtId="0" fontId="25" fillId="0" borderId="0" xfId="0" applyFont="1" applyBorder="1"/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7" fontId="0" fillId="0" borderId="0" xfId="0" applyNumberFormat="1"/>
    <xf numFmtId="0" fontId="25" fillId="0" borderId="0" xfId="0" applyFont="1" applyBorder="1" applyAlignment="1">
      <alignment horizontal="center"/>
    </xf>
    <xf numFmtId="0" fontId="25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center" vertical="center"/>
    </xf>
    <xf numFmtId="167" fontId="25" fillId="0" borderId="0" xfId="53" applyNumberFormat="1" applyFont="1" applyBorder="1"/>
    <xf numFmtId="167" fontId="25" fillId="0" borderId="0" xfId="0" applyNumberFormat="1" applyFont="1" applyBorder="1"/>
    <xf numFmtId="0" fontId="29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167" fontId="30" fillId="0" borderId="0" xfId="0" applyNumberFormat="1" applyFont="1"/>
    <xf numFmtId="168" fontId="29" fillId="0" borderId="0" xfId="0" applyNumberFormat="1" applyFont="1" applyBorder="1" applyAlignment="1">
      <alignment horizontal="center" vertical="center"/>
    </xf>
    <xf numFmtId="9" fontId="29" fillId="0" borderId="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44" fontId="31" fillId="0" borderId="0" xfId="53" applyFont="1"/>
    <xf numFmtId="44" fontId="29" fillId="0" borderId="0" xfId="0" applyNumberFormat="1" applyFont="1" applyBorder="1" applyAlignment="1">
      <alignment horizontal="center" vertical="center"/>
    </xf>
    <xf numFmtId="43" fontId="32" fillId="0" borderId="1" xfId="0" applyNumberFormat="1" applyFont="1" applyBorder="1"/>
    <xf numFmtId="43" fontId="32" fillId="0" borderId="1" xfId="2" applyFont="1" applyBorder="1"/>
    <xf numFmtId="0" fontId="32" fillId="0" borderId="1" xfId="0" applyFont="1" applyBorder="1"/>
    <xf numFmtId="0" fontId="32" fillId="0" borderId="0" xfId="0" applyFont="1"/>
    <xf numFmtId="43" fontId="32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0" fontId="35" fillId="0" borderId="0" xfId="0" applyFont="1"/>
    <xf numFmtId="0" fontId="19" fillId="0" borderId="0" xfId="0" applyFont="1"/>
    <xf numFmtId="0" fontId="19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10" fontId="3" fillId="0" borderId="16" xfId="1" applyNumberFormat="1" applyFont="1" applyBorder="1" applyAlignment="1">
      <alignment horizontal="center" vertical="center" wrapText="1"/>
    </xf>
    <xf numFmtId="2" fontId="3" fillId="0" borderId="0" xfId="0" applyNumberFormat="1" applyFont="1"/>
    <xf numFmtId="169" fontId="3" fillId="0" borderId="0" xfId="1" applyNumberFormat="1" applyFont="1"/>
    <xf numFmtId="0" fontId="19" fillId="35" borderId="1" xfId="0" applyFont="1" applyFill="1" applyBorder="1"/>
    <xf numFmtId="43" fontId="0" fillId="35" borderId="1" xfId="0" applyNumberFormat="1" applyFill="1" applyBorder="1"/>
    <xf numFmtId="0" fontId="33" fillId="35" borderId="1" xfId="0" applyFont="1" applyFill="1" applyBorder="1"/>
    <xf numFmtId="0" fontId="0" fillId="35" borderId="1" xfId="0" applyFill="1" applyBorder="1"/>
    <xf numFmtId="43" fontId="19" fillId="35" borderId="1" xfId="0" applyNumberFormat="1" applyFont="1" applyFill="1" applyBorder="1"/>
    <xf numFmtId="43" fontId="33" fillId="35" borderId="1" xfId="0" applyNumberFormat="1" applyFont="1" applyFill="1" applyBorder="1"/>
    <xf numFmtId="0" fontId="36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43" fontId="3" fillId="0" borderId="0" xfId="1" applyNumberFormat="1" applyFont="1"/>
    <xf numFmtId="170" fontId="3" fillId="0" borderId="0" xfId="0" applyNumberFormat="1" applyFont="1"/>
    <xf numFmtId="171" fontId="3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0" fontId="25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3" fontId="0" fillId="0" borderId="0" xfId="2" applyFont="1" applyAlignment="1">
      <alignment vertical="center" wrapText="1"/>
    </xf>
    <xf numFmtId="0" fontId="0" fillId="0" borderId="0" xfId="0" applyAlignment="1">
      <alignment vertical="center"/>
    </xf>
    <xf numFmtId="43" fontId="0" fillId="0" borderId="0" xfId="2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43" fontId="0" fillId="0" borderId="1" xfId="2" applyFont="1" applyBorder="1"/>
    <xf numFmtId="0" fontId="2" fillId="0" borderId="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3" fontId="32" fillId="37" borderId="1" xfId="2" applyFont="1" applyFill="1" applyBorder="1"/>
    <xf numFmtId="43" fontId="33" fillId="0" borderId="1" xfId="0" applyNumberFormat="1" applyFont="1" applyBorder="1"/>
    <xf numFmtId="0" fontId="0" fillId="0" borderId="0" xfId="0" applyFill="1" applyBorder="1"/>
    <xf numFmtId="0" fontId="0" fillId="0" borderId="0" xfId="0" applyFill="1" applyBorder="1" applyAlignment="1"/>
    <xf numFmtId="43" fontId="0" fillId="0" borderId="0" xfId="0" applyNumberFormat="1" applyFill="1" applyBorder="1"/>
    <xf numFmtId="166" fontId="0" fillId="0" borderId="1" xfId="0" applyNumberFormat="1" applyBorder="1"/>
    <xf numFmtId="0" fontId="0" fillId="0" borderId="0" xfId="0" applyAlignment="1">
      <alignment wrapText="1"/>
    </xf>
    <xf numFmtId="43" fontId="37" fillId="0" borderId="0" xfId="2" applyNumberFormat="1" applyFont="1" applyAlignment="1">
      <alignment horizontal="right" vertical="center" wrapText="1"/>
    </xf>
    <xf numFmtId="0" fontId="38" fillId="0" borderId="23" xfId="54" applyFont="1" applyFill="1" applyBorder="1" applyAlignment="1">
      <alignment horizontal="justify" vertical="center"/>
    </xf>
    <xf numFmtId="0" fontId="38" fillId="0" borderId="1" xfId="54" applyFont="1" applyFill="1" applyBorder="1" applyAlignment="1">
      <alignment horizontal="justify" vertical="center"/>
    </xf>
    <xf numFmtId="0" fontId="38" fillId="0" borderId="24" xfId="54" applyFont="1" applyFill="1" applyBorder="1" applyAlignment="1">
      <alignment horizontal="center" vertical="center"/>
    </xf>
    <xf numFmtId="0" fontId="38" fillId="0" borderId="22" xfId="54" applyFont="1" applyFill="1" applyBorder="1" applyAlignment="1">
      <alignment horizontal="center" vertical="center"/>
    </xf>
    <xf numFmtId="0" fontId="38" fillId="0" borderId="22" xfId="54" applyFont="1" applyFill="1" applyBorder="1" applyAlignment="1">
      <alignment horizontal="center" vertical="center" wrapText="1"/>
    </xf>
    <xf numFmtId="0" fontId="38" fillId="0" borderId="1" xfId="54" applyFont="1" applyFill="1" applyBorder="1" applyAlignment="1">
      <alignment horizontal="center" vertical="center"/>
    </xf>
    <xf numFmtId="43" fontId="25" fillId="0" borderId="0" xfId="2" applyFont="1" applyBorder="1"/>
    <xf numFmtId="0" fontId="0" fillId="0" borderId="1" xfId="54" applyFont="1" applyBorder="1" applyAlignment="1">
      <alignment horizontal="justify" vertical="center"/>
    </xf>
    <xf numFmtId="0" fontId="38" fillId="0" borderId="25" xfId="54" applyFont="1" applyFill="1" applyBorder="1" applyAlignment="1">
      <alignment horizontal="justify" vertical="center"/>
    </xf>
    <xf numFmtId="0" fontId="38" fillId="0" borderId="25" xfId="54" applyFont="1" applyFill="1" applyBorder="1" applyAlignment="1">
      <alignment horizontal="center" vertical="center"/>
    </xf>
    <xf numFmtId="174" fontId="39" fillId="39" borderId="1" xfId="54" applyNumberFormat="1" applyFont="1" applyFill="1" applyBorder="1" applyAlignment="1">
      <alignment horizontal="center" vertical="center"/>
    </xf>
    <xf numFmtId="0" fontId="39" fillId="40" borderId="1" xfId="54" applyFont="1" applyFill="1" applyBorder="1" applyAlignment="1">
      <alignment horizontal="center" vertical="center"/>
    </xf>
    <xf numFmtId="0" fontId="31" fillId="0" borderId="1" xfId="0" applyFont="1" applyBorder="1"/>
    <xf numFmtId="0" fontId="31" fillId="0" borderId="1" xfId="0" applyFont="1" applyBorder="1" applyAlignment="1">
      <alignment horizontal="center" vertical="center"/>
    </xf>
    <xf numFmtId="44" fontId="31" fillId="0" borderId="1" xfId="53" applyFont="1" applyBorder="1"/>
    <xf numFmtId="0" fontId="29" fillId="0" borderId="1" xfId="0" applyFont="1" applyBorder="1" applyAlignment="1">
      <alignment horizontal="center" vertical="center"/>
    </xf>
    <xf numFmtId="43" fontId="40" fillId="0" borderId="1" xfId="2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44" fontId="29" fillId="0" borderId="1" xfId="0" applyNumberFormat="1" applyFont="1" applyBorder="1" applyAlignment="1">
      <alignment horizontal="center" vertical="center"/>
    </xf>
    <xf numFmtId="0" fontId="38" fillId="0" borderId="1" xfId="54" applyFont="1" applyFill="1" applyBorder="1" applyAlignment="1">
      <alignment horizontal="justify" vertical="center" wrapText="1"/>
    </xf>
    <xf numFmtId="4" fontId="39" fillId="39" borderId="1" xfId="54" applyNumberFormat="1" applyFont="1" applyFill="1" applyBorder="1" applyAlignment="1">
      <alignment horizontal="center" vertical="center"/>
    </xf>
    <xf numFmtId="0" fontId="39" fillId="40" borderId="25" xfId="54" applyFont="1" applyFill="1" applyBorder="1" applyAlignment="1">
      <alignment horizontal="center" vertical="center"/>
    </xf>
    <xf numFmtId="0" fontId="39" fillId="40" borderId="25" xfId="54" applyFont="1" applyFill="1" applyBorder="1" applyAlignment="1">
      <alignment horizontal="center" vertical="center" wrapText="1"/>
    </xf>
    <xf numFmtId="4" fontId="39" fillId="40" borderId="1" xfId="54" applyNumberFormat="1" applyFont="1" applyFill="1" applyBorder="1" applyAlignment="1">
      <alignment horizontal="center" vertical="center" wrapText="1"/>
    </xf>
    <xf numFmtId="0" fontId="39" fillId="40" borderId="1" xfId="54" applyFont="1" applyFill="1" applyBorder="1" applyAlignment="1">
      <alignment horizontal="center" vertical="center" wrapText="1"/>
    </xf>
    <xf numFmtId="174" fontId="39" fillId="40" borderId="1" xfId="54" applyNumberFormat="1" applyFont="1" applyFill="1" applyBorder="1" applyAlignment="1">
      <alignment horizontal="center" vertical="center" wrapText="1"/>
    </xf>
    <xf numFmtId="0" fontId="38" fillId="0" borderId="20" xfId="54" applyFont="1" applyFill="1" applyBorder="1" applyAlignment="1">
      <alignment horizontal="center" vertical="center"/>
    </xf>
    <xf numFmtId="0" fontId="38" fillId="0" borderId="1" xfId="54" applyFont="1" applyBorder="1" applyAlignment="1">
      <alignment horizontal="center" vertical="center"/>
    </xf>
    <xf numFmtId="9" fontId="38" fillId="0" borderId="1" xfId="54" applyNumberFormat="1" applyFont="1" applyBorder="1" applyAlignment="1">
      <alignment horizontal="center" vertical="center"/>
    </xf>
    <xf numFmtId="0" fontId="39" fillId="38" borderId="1" xfId="54" applyFont="1" applyFill="1" applyBorder="1" applyAlignment="1">
      <alignment horizontal="center" vertical="center" wrapText="1"/>
    </xf>
    <xf numFmtId="4" fontId="39" fillId="0" borderId="1" xfId="54" applyNumberFormat="1" applyFont="1" applyFill="1" applyBorder="1" applyAlignment="1">
      <alignment horizontal="center" vertical="center" wrapText="1"/>
    </xf>
    <xf numFmtId="174" fontId="39" fillId="0" borderId="1" xfId="54" applyNumberFormat="1" applyFont="1" applyFill="1" applyBorder="1" applyAlignment="1">
      <alignment horizontal="center" vertical="center" wrapText="1"/>
    </xf>
    <xf numFmtId="174" fontId="39" fillId="0" borderId="1" xfId="54" applyNumberFormat="1" applyFont="1" applyBorder="1" applyAlignment="1">
      <alignment horizontal="center" vertical="center"/>
    </xf>
    <xf numFmtId="0" fontId="38" fillId="0" borderId="20" xfId="54" applyFont="1" applyBorder="1" applyAlignment="1">
      <alignment horizontal="center" vertical="center"/>
    </xf>
    <xf numFmtId="0" fontId="39" fillId="40" borderId="26" xfId="54" applyFont="1" applyFill="1" applyBorder="1" applyAlignment="1">
      <alignment horizontal="center" vertical="center"/>
    </xf>
    <xf numFmtId="0" fontId="39" fillId="40" borderId="27" xfId="54" applyFont="1" applyFill="1" applyBorder="1" applyAlignment="1">
      <alignment vertical="center"/>
    </xf>
    <xf numFmtId="0" fontId="38" fillId="40" borderId="27" xfId="54" applyFont="1" applyFill="1" applyBorder="1" applyAlignment="1">
      <alignment vertical="center"/>
    </xf>
    <xf numFmtId="4" fontId="39" fillId="40" borderId="25" xfId="54" applyNumberFormat="1" applyFont="1" applyFill="1" applyBorder="1" applyAlignment="1">
      <alignment horizontal="center" vertical="center"/>
    </xf>
    <xf numFmtId="175" fontId="39" fillId="40" borderId="25" xfId="54" applyNumberFormat="1" applyFont="1" applyFill="1" applyBorder="1" applyAlignment="1">
      <alignment horizontal="center" vertical="center"/>
    </xf>
    <xf numFmtId="174" fontId="39" fillId="40" borderId="25" xfId="54" applyNumberFormat="1" applyFont="1" applyFill="1" applyBorder="1" applyAlignment="1">
      <alignment horizontal="center" vertical="center"/>
    </xf>
    <xf numFmtId="0" fontId="39" fillId="42" borderId="20" xfId="54" applyFont="1" applyFill="1" applyBorder="1" applyAlignment="1">
      <alignment horizontal="center" vertical="center"/>
    </xf>
    <xf numFmtId="0" fontId="39" fillId="42" borderId="21" xfId="54" applyFont="1" applyFill="1" applyBorder="1" applyAlignment="1">
      <alignment vertical="center"/>
    </xf>
    <xf numFmtId="0" fontId="38" fillId="42" borderId="21" xfId="54" applyFont="1" applyFill="1" applyBorder="1" applyAlignment="1">
      <alignment vertical="center"/>
    </xf>
    <xf numFmtId="4" fontId="38" fillId="42" borderId="21" xfId="54" applyNumberFormat="1" applyFont="1" applyFill="1" applyBorder="1" applyAlignment="1">
      <alignment vertical="center"/>
    </xf>
    <xf numFmtId="174" fontId="39" fillId="42" borderId="21" xfId="54" applyNumberFormat="1" applyFont="1" applyFill="1" applyBorder="1" applyAlignment="1">
      <alignment horizontal="center" vertical="center"/>
    </xf>
    <xf numFmtId="0" fontId="38" fillId="42" borderId="22" xfId="54" applyFont="1" applyFill="1" applyBorder="1" applyAlignment="1">
      <alignment vertical="center"/>
    </xf>
    <xf numFmtId="174" fontId="39" fillId="41" borderId="22" xfId="54" quotePrefix="1" applyNumberFormat="1" applyFont="1" applyFill="1" applyBorder="1" applyAlignment="1">
      <alignment horizontal="center" vertical="center"/>
    </xf>
    <xf numFmtId="3" fontId="41" fillId="0" borderId="0" xfId="0" applyNumberFormat="1" applyFont="1" applyBorder="1" applyAlignment="1">
      <alignment horizontal="center" vertical="center"/>
    </xf>
    <xf numFmtId="8" fontId="42" fillId="0" borderId="0" xfId="0" applyNumberFormat="1" applyFont="1" applyBorder="1" applyAlignment="1">
      <alignment horizontal="center" vertical="center"/>
    </xf>
    <xf numFmtId="43" fontId="0" fillId="0" borderId="0" xfId="2" applyFont="1" applyBorder="1"/>
    <xf numFmtId="0" fontId="42" fillId="0" borderId="0" xfId="0" applyFont="1" applyBorder="1" applyAlignment="1">
      <alignment horizontal="center" vertical="center"/>
    </xf>
    <xf numFmtId="3" fontId="42" fillId="0" borderId="0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/>
    </xf>
    <xf numFmtId="10" fontId="39" fillId="0" borderId="1" xfId="1" applyNumberFormat="1" applyFont="1" applyBorder="1" applyAlignment="1">
      <alignment horizontal="center" vertical="center"/>
    </xf>
    <xf numFmtId="0" fontId="43" fillId="0" borderId="0" xfId="0" applyFont="1" applyBorder="1" applyAlignment="1">
      <alignment horizontal="center"/>
    </xf>
    <xf numFmtId="0" fontId="43" fillId="0" borderId="0" xfId="0" applyFont="1" applyBorder="1" applyAlignment="1">
      <alignment horizontal="left" wrapText="1"/>
    </xf>
    <xf numFmtId="0" fontId="43" fillId="0" borderId="0" xfId="0" applyFont="1" applyBorder="1" applyAlignment="1">
      <alignment horizontal="center" vertical="center"/>
    </xf>
    <xf numFmtId="2" fontId="43" fillId="0" borderId="0" xfId="0" applyNumberFormat="1" applyFont="1" applyBorder="1" applyAlignment="1">
      <alignment horizontal="center" vertical="center"/>
    </xf>
    <xf numFmtId="2" fontId="44" fillId="0" borderId="0" xfId="0" applyNumberFormat="1" applyFont="1" applyBorder="1" applyAlignment="1">
      <alignment horizontal="center" vertical="center"/>
    </xf>
    <xf numFmtId="167" fontId="45" fillId="0" borderId="0" xfId="0" applyNumberFormat="1" applyFont="1" applyBorder="1"/>
    <xf numFmtId="167" fontId="43" fillId="0" borderId="0" xfId="0" applyNumberFormat="1" applyFont="1" applyBorder="1"/>
    <xf numFmtId="43" fontId="0" fillId="0" borderId="23" xfId="2" applyFont="1" applyBorder="1"/>
    <xf numFmtId="0" fontId="19" fillId="0" borderId="1" xfId="0" applyFont="1" applyBorder="1" applyAlignment="1">
      <alignment wrapText="1"/>
    </xf>
    <xf numFmtId="43" fontId="1" fillId="0" borderId="1" xfId="2" applyFont="1" applyBorder="1"/>
    <xf numFmtId="0" fontId="19" fillId="0" borderId="1" xfId="0" applyFont="1" applyBorder="1"/>
    <xf numFmtId="43" fontId="19" fillId="35" borderId="1" xfId="2" applyFont="1" applyFill="1" applyBorder="1"/>
    <xf numFmtId="0" fontId="47" fillId="43" borderId="34" xfId="0" applyFont="1" applyFill="1" applyBorder="1" applyAlignment="1">
      <alignment vertical="center" wrapText="1"/>
    </xf>
    <xf numFmtId="0" fontId="47" fillId="43" borderId="35" xfId="0" applyFont="1" applyFill="1" applyBorder="1" applyAlignment="1">
      <alignment vertical="center" wrapText="1"/>
    </xf>
    <xf numFmtId="0" fontId="47" fillId="43" borderId="35" xfId="0" applyFont="1" applyFill="1" applyBorder="1" applyAlignment="1">
      <alignment horizontal="center" vertical="center" wrapText="1"/>
    </xf>
    <xf numFmtId="4" fontId="48" fillId="0" borderId="34" xfId="0" applyNumberFormat="1" applyFont="1" applyBorder="1" applyAlignment="1">
      <alignment horizontal="right" vertical="center" wrapText="1"/>
    </xf>
    <xf numFmtId="0" fontId="48" fillId="0" borderId="35" xfId="0" applyFont="1" applyBorder="1" applyAlignment="1">
      <alignment vertical="center" wrapText="1"/>
    </xf>
    <xf numFmtId="4" fontId="48" fillId="0" borderId="35" xfId="0" applyNumberFormat="1" applyFont="1" applyBorder="1" applyAlignment="1">
      <alignment horizontal="right" vertical="center" wrapText="1"/>
    </xf>
    <xf numFmtId="0" fontId="48" fillId="0" borderId="35" xfId="0" applyFont="1" applyBorder="1" applyAlignment="1">
      <alignment horizontal="right" vertical="center" wrapText="1"/>
    </xf>
    <xf numFmtId="0" fontId="48" fillId="0" borderId="35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right" vertical="center" wrapText="1"/>
    </xf>
    <xf numFmtId="4" fontId="48" fillId="37" borderId="35" xfId="0" applyNumberFormat="1" applyFont="1" applyFill="1" applyBorder="1" applyAlignment="1">
      <alignment horizontal="right" vertical="center" wrapText="1"/>
    </xf>
    <xf numFmtId="4" fontId="49" fillId="43" borderId="35" xfId="0" applyNumberFormat="1" applyFont="1" applyFill="1" applyBorder="1" applyAlignment="1">
      <alignment horizontal="right" vertical="center" wrapText="1"/>
    </xf>
    <xf numFmtId="43" fontId="48" fillId="0" borderId="35" xfId="2" applyFont="1" applyBorder="1" applyAlignment="1">
      <alignment horizontal="center" vertical="center" wrapText="1"/>
    </xf>
    <xf numFmtId="43" fontId="48" fillId="37" borderId="35" xfId="2" applyFont="1" applyFill="1" applyBorder="1" applyAlignment="1">
      <alignment horizontal="center" vertical="center" wrapText="1"/>
    </xf>
    <xf numFmtId="43" fontId="50" fillId="0" borderId="0" xfId="2" applyFont="1"/>
    <xf numFmtId="0" fontId="27" fillId="35" borderId="20" xfId="0" applyFont="1" applyFill="1" applyBorder="1" applyAlignment="1">
      <alignment horizontal="center"/>
    </xf>
    <xf numFmtId="0" fontId="27" fillId="35" borderId="21" xfId="0" applyFont="1" applyFill="1" applyBorder="1" applyAlignment="1">
      <alignment horizontal="center"/>
    </xf>
    <xf numFmtId="0" fontId="27" fillId="35" borderId="2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19" fillId="35" borderId="20" xfId="2" applyFont="1" applyFill="1" applyBorder="1" applyAlignment="1">
      <alignment horizontal="center"/>
    </xf>
    <xf numFmtId="43" fontId="19" fillId="35" borderId="21" xfId="2" applyFont="1" applyFill="1" applyBorder="1" applyAlignment="1">
      <alignment horizontal="center"/>
    </xf>
    <xf numFmtId="43" fontId="19" fillId="35" borderId="22" xfId="2" applyFont="1" applyFill="1" applyBorder="1" applyAlignment="1">
      <alignment horizontal="center"/>
    </xf>
    <xf numFmtId="0" fontId="19" fillId="35" borderId="1" xfId="0" applyFont="1" applyFill="1" applyBorder="1" applyAlignment="1">
      <alignment horizontal="center"/>
    </xf>
    <xf numFmtId="0" fontId="0" fillId="0" borderId="30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34" fillId="0" borderId="0" xfId="0" applyFont="1" applyBorder="1" applyAlignment="1">
      <alignment horizontal="left" vertical="center" wrapText="1"/>
    </xf>
    <xf numFmtId="0" fontId="0" fillId="35" borderId="1" xfId="0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43" fontId="2" fillId="0" borderId="2" xfId="2" applyFont="1" applyBorder="1" applyAlignment="1">
      <alignment horizontal="center" vertical="center" wrapText="1"/>
    </xf>
    <xf numFmtId="43" fontId="2" fillId="0" borderId="3" xfId="2" applyFont="1" applyBorder="1" applyAlignment="1">
      <alignment horizontal="center" vertical="center" wrapText="1"/>
    </xf>
    <xf numFmtId="0" fontId="23" fillId="3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29" fillId="0" borderId="2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46" fillId="0" borderId="31" xfId="0" applyFont="1" applyBorder="1" applyAlignment="1">
      <alignment horizontal="center" vertical="center" wrapText="1"/>
    </xf>
    <xf numFmtId="0" fontId="46" fillId="0" borderId="32" xfId="0" applyFont="1" applyBorder="1" applyAlignment="1">
      <alignment horizontal="center" vertical="center" wrapText="1"/>
    </xf>
    <xf numFmtId="0" fontId="46" fillId="0" borderId="33" xfId="0" applyFont="1" applyBorder="1" applyAlignment="1">
      <alignment horizontal="center" vertical="center" wrapText="1"/>
    </xf>
    <xf numFmtId="0" fontId="48" fillId="0" borderId="31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9" fillId="43" borderId="31" xfId="0" applyFont="1" applyFill="1" applyBorder="1" applyAlignment="1">
      <alignment horizontal="center" vertical="center" wrapText="1"/>
    </xf>
    <xf numFmtId="0" fontId="49" fillId="43" borderId="32" xfId="0" applyFont="1" applyFill="1" applyBorder="1" applyAlignment="1">
      <alignment horizontal="center" vertical="center" wrapText="1"/>
    </xf>
    <xf numFmtId="0" fontId="49" fillId="43" borderId="33" xfId="0" applyFont="1" applyFill="1" applyBorder="1" applyAlignment="1">
      <alignment horizontal="center" vertical="center" wrapText="1"/>
    </xf>
  </cellXfs>
  <cellStyles count="58">
    <cellStyle name="20% - Ênfase1" xfId="24" builtinId="30" customBuiltin="1"/>
    <cellStyle name="20% - Ênfase2" xfId="28" builtinId="34" customBuiltin="1"/>
    <cellStyle name="20% - Ênfase3" xfId="32" builtinId="38" customBuiltin="1"/>
    <cellStyle name="20% - Ênfase4" xfId="36" builtinId="42" customBuiltin="1"/>
    <cellStyle name="20% - Ênfase5" xfId="40" builtinId="46" customBuiltin="1"/>
    <cellStyle name="20% - Ênfase6" xfId="44" builtinId="50" customBuiltin="1"/>
    <cellStyle name="40% - Ênfase1" xfId="25" builtinId="31" customBuiltin="1"/>
    <cellStyle name="40% - Ênfase2" xfId="29" builtinId="35" customBuiltin="1"/>
    <cellStyle name="40% - Ênfase3" xfId="33" builtinId="39" customBuiltin="1"/>
    <cellStyle name="40% - Ênfase4" xfId="37" builtinId="43" customBuiltin="1"/>
    <cellStyle name="40% - Ênfase5" xfId="41" builtinId="47" customBuiltin="1"/>
    <cellStyle name="40% - Ênfase6" xfId="45" builtinId="51" customBuiltin="1"/>
    <cellStyle name="60% - Ênfase1" xfId="26" builtinId="32" customBuiltin="1"/>
    <cellStyle name="60% - Ênfase2" xfId="30" builtinId="36" customBuiltin="1"/>
    <cellStyle name="60% - Ênfase3" xfId="34" builtinId="40" customBuiltin="1"/>
    <cellStyle name="60% - Ênfase4" xfId="38" builtinId="44" customBuiltin="1"/>
    <cellStyle name="60% - Ênfase5" xfId="42" builtinId="48" customBuiltin="1"/>
    <cellStyle name="60% - Ênfase6" xfId="46" builtinId="52" customBuiltin="1"/>
    <cellStyle name="Bom" xfId="11" builtinId="26" customBuiltin="1"/>
    <cellStyle name="Cálculo" xfId="16" builtinId="22" customBuiltin="1"/>
    <cellStyle name="Célula de Verificação" xfId="18" builtinId="23" customBuiltin="1"/>
    <cellStyle name="Célula Vinculada" xfId="17" builtinId="24" customBuiltin="1"/>
    <cellStyle name="Ênfase1" xfId="23" builtinId="29" customBuiltin="1"/>
    <cellStyle name="Ênfase2" xfId="27" builtinId="33" customBuiltin="1"/>
    <cellStyle name="Ênfase3" xfId="31" builtinId="37" customBuiltin="1"/>
    <cellStyle name="Ênfase4" xfId="35" builtinId="41" customBuiltin="1"/>
    <cellStyle name="Ênfase5" xfId="39" builtinId="45" customBuiltin="1"/>
    <cellStyle name="Ênfase6" xfId="43" builtinId="49" customBuiltin="1"/>
    <cellStyle name="Entrada" xfId="14" builtinId="20" customBuiltin="1"/>
    <cellStyle name="Incorreto" xfId="12" builtinId="27" customBuiltin="1"/>
    <cellStyle name="Moeda" xfId="53" builtinId="4"/>
    <cellStyle name="Neutra" xfId="13" builtinId="28" customBuiltin="1"/>
    <cellStyle name="Normal" xfId="0" builtinId="0"/>
    <cellStyle name="Normal 2" xfId="48"/>
    <cellStyle name="Normal 2 2" xfId="54"/>
    <cellStyle name="Normal 3" xfId="55"/>
    <cellStyle name="Normal 4" xfId="56"/>
    <cellStyle name="Nota" xfId="20" builtinId="10" customBuiltin="1"/>
    <cellStyle name="Porcentagem" xfId="1" builtinId="5"/>
    <cellStyle name="Porcentagem 2" xfId="57"/>
    <cellStyle name="Saída" xfId="15" builtinId="21" customBuiltin="1"/>
    <cellStyle name="Texto de Aviso" xfId="19" builtinId="11" customBuiltin="1"/>
    <cellStyle name="Texto Explicativo" xfId="21" builtinId="53" customBuiltin="1"/>
    <cellStyle name="Título" xfId="6" builtinId="15" customBuiltin="1"/>
    <cellStyle name="Título 1" xfId="7" builtinId="16" customBuiltin="1"/>
    <cellStyle name="Título 2" xfId="8" builtinId="17" customBuiltin="1"/>
    <cellStyle name="Título 3" xfId="9" builtinId="18" customBuiltin="1"/>
    <cellStyle name="Título 4" xfId="10" builtinId="19" customBuiltin="1"/>
    <cellStyle name="Total" xfId="22" builtinId="25" customBuiltin="1"/>
    <cellStyle name="Vírgula" xfId="2" builtinId="3"/>
    <cellStyle name="Vírgula 2" xfId="3"/>
    <cellStyle name="Vírgula 3" xfId="5"/>
    <cellStyle name="Vírgula 3 2" xfId="51"/>
    <cellStyle name="Vírgula 4" xfId="4"/>
    <cellStyle name="Vírgula 4 2" xfId="50"/>
    <cellStyle name="Vírgula 5" xfId="47"/>
    <cellStyle name="Vírgula 5 2" xfId="52"/>
    <cellStyle name="Vírgula 6" xfId="49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scheme val="none"/>
      </font>
      <numFmt numFmtId="167" formatCode="_-[$R$-416]\ * #,##0.00_-;\-[$R$-416]\ * #,##0.00_-;_-[$R$-416]\ * &quot;-&quot;??_-;_-@_-"/>
      <border diagonalUp="0" diagonalDown="0" outline="0">
        <left/>
        <right/>
        <top/>
        <bottom/>
      </border>
    </dxf>
    <dxf>
      <numFmt numFmtId="167" formatCode="_-[$R$-416]\ * #,##0.00_-;\-[$R$-416]\ * #,##0.00_-;_-[$R$-416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scheme val="none"/>
      </font>
      <numFmt numFmtId="167" formatCode="_-[$R$-416]\ * #,##0.00_-;\-[$R$-416]\ * #,##0.00_-;_-[$R$-416]\ * &quot;-&quot;??_-;_-@_-"/>
      <border diagonalUp="0" diagonalDown="0" outline="0">
        <left/>
        <right/>
        <top/>
        <bottom/>
      </border>
    </dxf>
    <dxf>
      <numFmt numFmtId="167" formatCode="_-[$R$-416]\ * #,##0.00_-;\-[$R$-416]\ * #,##0.00_-;_-[$R$-416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scheme val="none"/>
      </font>
      <numFmt numFmtId="167" formatCode="_-[$R$-416]\ * #,##0.00_-;\-[$R$-416]\ * #,##0.00_-;_-[$R$-416]\ * &quot;-&quot;??_-;_-@_-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-* #,##0.00_-;\-* #,##0.00_-;_-* &quot;-&quot;??_-;_-@_-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orbe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DE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DE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DE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DE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DE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DE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DE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DEL"/>
        <scheme val="none"/>
      </font>
    </dxf>
    <dxf>
      <font>
        <strike val="0"/>
        <outline val="0"/>
        <shadow val="0"/>
        <u val="none"/>
        <vertAlign val="baseline"/>
        <name val="Cordel"/>
        <scheme val="none"/>
      </font>
      <numFmt numFmtId="167" formatCode="_-[$R$-416]\ * #,##0.00_-;\-[$R$-416]\ * #,##0.00_-;_-[$R$-416]\ * &quot;-&quot;??_-;_-@_-"/>
    </dxf>
    <dxf>
      <font>
        <strike val="0"/>
        <outline val="0"/>
        <shadow val="0"/>
        <u val="none"/>
        <vertAlign val="baseline"/>
        <name val="Cordel"/>
        <scheme val="none"/>
      </font>
      <numFmt numFmtId="167" formatCode="_-[$R$-416]\ * #,##0.00_-;\-[$R$-416]\ * #,##0.00_-;_-[$R$-416]\ * &quot;-&quot;??_-;_-@_-"/>
    </dxf>
    <dxf>
      <font>
        <strike val="0"/>
        <outline val="0"/>
        <shadow val="0"/>
        <u val="none"/>
        <vertAlign val="baseline"/>
        <name val="Cordel"/>
        <scheme val="none"/>
      </font>
    </dxf>
    <dxf>
      <font>
        <strike val="0"/>
        <outline val="0"/>
        <shadow val="0"/>
        <u val="none"/>
        <vertAlign val="baseline"/>
        <name val="Corde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orde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ordel"/>
        <scheme val="none"/>
      </font>
    </dxf>
    <dxf>
      <font>
        <strike val="0"/>
        <outline val="0"/>
        <shadow val="0"/>
        <u val="none"/>
        <vertAlign val="baseline"/>
        <name val="Cordel"/>
        <scheme val="none"/>
      </font>
    </dxf>
    <dxf>
      <font>
        <strike val="0"/>
        <outline val="0"/>
        <shadow val="0"/>
        <u val="none"/>
        <vertAlign val="baseline"/>
        <name val="Cordel"/>
        <scheme val="none"/>
      </font>
    </dxf>
    <dxf>
      <font>
        <strike val="0"/>
        <outline val="0"/>
        <shadow val="0"/>
        <u val="none"/>
        <vertAlign val="baseline"/>
        <name val="Corde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dra.NAVELE.000\Desktop\JAN%2019\Prova%20de%20Mat&#233;mat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osta"/>
      <sheetName val="Geral VERIFICAÇÃO"/>
      <sheetName val="ferramentas "/>
      <sheetName val="Pl Dimensionamento"/>
      <sheetName val="Adicional Noturno"/>
      <sheetName val="Salario Base"/>
      <sheetName val="Insalubridade E Periculosidade"/>
      <sheetName val="VT"/>
      <sheetName val="VA"/>
      <sheetName val="Súmua 444 TST"/>
      <sheetName val="Uniformes e EPI´s"/>
      <sheetName val="Validação - MO"/>
      <sheetName val="Coord"/>
      <sheetName val="Eng Elet"/>
      <sheetName val="Té Edif"/>
      <sheetName val="Téc Seg"/>
      <sheetName val="Téc em Eletrônica"/>
      <sheetName val="Téc Eletrot"/>
      <sheetName val="Téc Mec"/>
      <sheetName val="Téc Telef"/>
      <sheetName val="Enc"/>
      <sheetName val="Aux Téc "/>
      <sheetName val="Aux Adm"/>
      <sheetName val="Alm"/>
      <sheetName val="Bomb Hid"/>
      <sheetName val="Bomb Gases"/>
      <sheetName val="Marc"/>
      <sheetName val="Ped"/>
      <sheetName val="Pint"/>
      <sheetName val="Serra"/>
      <sheetName val="Estof"/>
      <sheetName val="Serv"/>
      <sheetName val="Elet"/>
      <sheetName val="Enc Dia "/>
      <sheetName val="Enc Not "/>
      <sheetName val="Bomb Hid Dia"/>
      <sheetName val="Bomb Hid Not"/>
      <sheetName val="Bomb Gas Dia"/>
      <sheetName val="Bomb Gas Not"/>
      <sheetName val="Elet Dia"/>
      <sheetName val="Elet Not"/>
      <sheetName val="Serv Dia"/>
      <sheetName val="Serv Not"/>
      <sheetName val="Op Sub Dia"/>
      <sheetName val="Ope Sub Not"/>
      <sheetName val="Geral 2"/>
      <sheetName val="Verva Aquisição Materiais"/>
      <sheetName val="Verba Serviços Corretiva"/>
      <sheetName val="Mat Consumo"/>
      <sheetName val="Plan1"/>
      <sheetName val="P TRAB"/>
    </sheetNames>
    <sheetDataSet>
      <sheetData sheetId="0"/>
      <sheetData sheetId="1"/>
      <sheetData sheetId="2"/>
      <sheetData sheetId="3"/>
      <sheetData sheetId="4"/>
      <sheetData sheetId="5">
        <row r="11">
          <cell r="A11" t="str">
            <v>COORDENADOR DE CONTRATO (ENGENHEIRO CIVIL ou ARQUITETO )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9">
          <cell r="K19">
            <v>954</v>
          </cell>
        </row>
      </sheetData>
      <sheetData sheetId="13">
        <row r="28">
          <cell r="H28">
            <v>2575.7999999999997</v>
          </cell>
        </row>
      </sheetData>
      <sheetData sheetId="14"/>
      <sheetData sheetId="15"/>
      <sheetData sheetId="16"/>
      <sheetData sheetId="17">
        <row r="27">
          <cell r="H27">
            <v>693.59099999999989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26">
          <cell r="H26">
            <v>2932.54</v>
          </cell>
        </row>
      </sheetData>
      <sheetData sheetId="35">
        <row r="26">
          <cell r="H26">
            <v>1730.94</v>
          </cell>
        </row>
      </sheetData>
      <sheetData sheetId="36">
        <row r="26">
          <cell r="H26">
            <v>1730.94</v>
          </cell>
        </row>
      </sheetData>
      <sheetData sheetId="37">
        <row r="26">
          <cell r="H26">
            <v>1730.94</v>
          </cell>
        </row>
      </sheetData>
      <sheetData sheetId="38">
        <row r="26">
          <cell r="H26">
            <v>1730.94</v>
          </cell>
        </row>
      </sheetData>
      <sheetData sheetId="39">
        <row r="26">
          <cell r="H26">
            <v>1730.94</v>
          </cell>
        </row>
      </sheetData>
      <sheetData sheetId="40">
        <row r="26">
          <cell r="H26">
            <v>1730.94</v>
          </cell>
        </row>
      </sheetData>
      <sheetData sheetId="41"/>
      <sheetData sheetId="42">
        <row r="26">
          <cell r="H26">
            <v>1174.22</v>
          </cell>
        </row>
      </sheetData>
      <sheetData sheetId="43">
        <row r="26">
          <cell r="H26">
            <v>2311.9699999999998</v>
          </cell>
        </row>
      </sheetData>
      <sheetData sheetId="44">
        <row r="26">
          <cell r="H26">
            <v>2311.9699999999998</v>
          </cell>
        </row>
      </sheetData>
      <sheetData sheetId="45"/>
      <sheetData sheetId="46"/>
      <sheetData sheetId="47"/>
      <sheetData sheetId="48"/>
      <sheetData sheetId="49"/>
      <sheetData sheetId="50"/>
    </sheetDataSet>
  </externalBook>
</externalLink>
</file>

<file path=xl/tables/table1.xml><?xml version="1.0" encoding="utf-8"?>
<table xmlns="http://schemas.openxmlformats.org/spreadsheetml/2006/main" id="2" name="Tabela35" displayName="Tabela35" ref="A4:G11" totalsRowShown="0" headerRowDxfId="33" dataDxfId="32">
  <autoFilter ref="A4:G11"/>
  <tableColumns count="7">
    <tableColumn id="1" name="ITEM" dataDxfId="31"/>
    <tableColumn id="2" name="DESCRIÇÃO" dataDxfId="30"/>
    <tableColumn id="3" name="MEDIDA" dataDxfId="29"/>
    <tableColumn id="4" name="QTD" dataDxfId="28"/>
    <tableColumn id="5" name="Valor Unitário" dataDxfId="27"/>
    <tableColumn id="6" name="Valor Mensal" dataDxfId="26">
      <calculatedColumnFormula>Tabela35[[#This Row],[Valor Unitário]]/6</calculatedColumnFormula>
    </tableColumn>
    <tableColumn id="7" name="Valor Total" dataDxfId="25">
      <calculatedColumnFormula>Tabela35[[#This Row],[Valor Mensal]]*6</calculatedColumnFormula>
    </tableColumn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id="5" name="Tabela5" displayName="Tabela5" ref="A14:G23" totalsRowShown="0" headerRowDxfId="24" headerRowCellStyle="Moeda">
  <autoFilter ref="A14:G23"/>
  <tableColumns count="7">
    <tableColumn id="1" name="ITEM" dataDxfId="23"/>
    <tableColumn id="2" name="DESCRIÇÃO" dataDxfId="22"/>
    <tableColumn id="3" name="UNIDADE" dataDxfId="21"/>
    <tableColumn id="4" name="PREÇO MÉDIO ESTIMADO_x000a_UNIT. (R$)" dataDxfId="20"/>
    <tableColumn id="5" name="QTDE._x000a_ANUAL" dataDxfId="19"/>
    <tableColumn id="6" name="VALOR MENSAL" dataDxfId="18" dataCellStyle="Moeda"/>
    <tableColumn id="7" name="CUSTO MENSAL_x000a_POR POSTO (R$)" dataDxfId="17" dataCellStyle="Moed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14" displayName="Tabela14" ref="A3:I86" totalsRowCount="1" headerRowDxfId="16">
  <autoFilter ref="A3:I85"/>
  <tableColumns count="9">
    <tableColumn id="1" name="ITEM" dataDxfId="15" totalsRowDxfId="14"/>
    <tableColumn id="2" name="DESCRIÇÃO" totalsRowLabel="TOTAL GERAL" dataDxfId="13" totalsRowDxfId="12"/>
    <tableColumn id="3" name="UNIDADE" dataDxfId="11" totalsRowDxfId="10"/>
    <tableColumn id="5" name="QTD MENSAL" dataDxfId="9" totalsRowDxfId="8"/>
    <tableColumn id="6" name="QTD TOTAL" totalsRowDxfId="7"/>
    <tableColumn id="7" name="PREÇO MÉDIO UNITÁRIO (R$)" dataDxfId="6" totalsRowDxfId="5" dataCellStyle="Vírgula">
      <calculatedColumnFormula>#REF!*#REF!</calculatedColumnFormula>
    </tableColumn>
    <tableColumn id="8" name="CUSTO MÉDIO MENSAL (R$)" totalsRowFunction="sum" dataDxfId="4" totalsRowDxfId="3">
      <calculatedColumnFormula>F4*Tabela14[[#This Row],[Marca]]</calculatedColumnFormula>
    </tableColumn>
    <tableColumn id="9" name="CUSTO MÉDIO ANUAL (R$)" totalsRowFunction="sum" dataDxfId="2" totalsRowDxfId="1">
      <calculatedColumnFormula>F4*E4</calculatedColumnFormula>
    </tableColumn>
    <tableColumn id="10" name="Marca" dataDxfId="0" dataCellStyle="Vírgula">
      <calculatedColumnFormula>Tabela14[[#This Row],[QTD MENSAL]]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zoomScale="115" zoomScaleNormal="115" workbookViewId="0">
      <selection activeCell="F19" sqref="F19"/>
    </sheetView>
  </sheetViews>
  <sheetFormatPr defaultRowHeight="15" x14ac:dyDescent="0.25"/>
  <cols>
    <col min="1" max="1" width="26.5703125" customWidth="1"/>
    <col min="2" max="2" width="17.42578125" bestFit="1" customWidth="1"/>
    <col min="3" max="3" width="13.28515625" bestFit="1" customWidth="1"/>
    <col min="4" max="4" width="12.5703125" customWidth="1"/>
    <col min="5" max="5" width="15" customWidth="1"/>
    <col min="6" max="6" width="17.28515625" bestFit="1" customWidth="1"/>
    <col min="14" max="14" width="43.5703125" bestFit="1" customWidth="1"/>
    <col min="15" max="15" width="13.140625" bestFit="1" customWidth="1"/>
    <col min="16" max="16" width="11.42578125" bestFit="1" customWidth="1"/>
    <col min="17" max="17" width="12.5703125" bestFit="1" customWidth="1"/>
    <col min="18" max="18" width="15" bestFit="1" customWidth="1"/>
  </cols>
  <sheetData>
    <row r="1" spans="1:18" s="78" customFormat="1" ht="156.75" customHeight="1" x14ac:dyDescent="0.25">
      <c r="A1" s="190"/>
      <c r="B1" s="191"/>
      <c r="C1" s="191"/>
      <c r="D1" s="191"/>
      <c r="E1" s="191"/>
      <c r="F1" s="191"/>
    </row>
    <row r="2" spans="1:18" ht="18.75" x14ac:dyDescent="0.3">
      <c r="A2" s="182" t="s">
        <v>282</v>
      </c>
      <c r="B2" s="183"/>
      <c r="C2" s="183"/>
      <c r="D2" s="183"/>
      <c r="E2" s="183"/>
      <c r="F2" s="184"/>
    </row>
    <row r="3" spans="1:18" x14ac:dyDescent="0.25">
      <c r="A3" s="71"/>
      <c r="B3" s="71" t="s">
        <v>104</v>
      </c>
      <c r="C3" s="71" t="s">
        <v>106</v>
      </c>
      <c r="D3" s="71" t="s">
        <v>105</v>
      </c>
      <c r="E3" s="71" t="s">
        <v>281</v>
      </c>
      <c r="F3" s="71"/>
    </row>
    <row r="4" spans="1:18" x14ac:dyDescent="0.25">
      <c r="A4" s="21" t="s">
        <v>94</v>
      </c>
      <c r="B4" s="22">
        <f>'AGENTE DE LIMPEZA '!C139</f>
        <v>5069.4201539571222</v>
      </c>
      <c r="C4" s="21">
        <v>16</v>
      </c>
      <c r="D4" s="22">
        <f>B4*C4</f>
        <v>81110.722463313956</v>
      </c>
      <c r="E4" s="22">
        <f>D4*12</f>
        <v>973328.66955976747</v>
      </c>
      <c r="F4" s="22"/>
      <c r="O4" s="30"/>
      <c r="Q4" s="30"/>
      <c r="R4" s="30"/>
    </row>
    <row r="5" spans="1:18" x14ac:dyDescent="0.25">
      <c r="A5" s="21" t="s">
        <v>268</v>
      </c>
      <c r="B5" s="22">
        <f>'AGENTE DE LIMPEZA banheirista'!C138</f>
        <v>6545.6878496916042</v>
      </c>
      <c r="C5" s="21">
        <v>4</v>
      </c>
      <c r="D5" s="22">
        <f>B5*C5</f>
        <v>26182.751398766417</v>
      </c>
      <c r="E5" s="22">
        <f t="shared" ref="E5:E7" si="0">D5*12</f>
        <v>314193.01678519702</v>
      </c>
      <c r="F5" s="22"/>
      <c r="O5" s="30"/>
      <c r="Q5" s="30"/>
      <c r="R5" s="30"/>
    </row>
    <row r="6" spans="1:18" x14ac:dyDescent="0.25">
      <c r="A6" s="21" t="s">
        <v>136</v>
      </c>
      <c r="B6" s="22">
        <f>ENCARREGADA!C139</f>
        <v>7064.1657860755076</v>
      </c>
      <c r="C6" s="21">
        <v>1</v>
      </c>
      <c r="D6" s="22">
        <f>B6*C6</f>
        <v>7064.1657860755076</v>
      </c>
      <c r="E6" s="22">
        <f t="shared" si="0"/>
        <v>84769.989432906092</v>
      </c>
      <c r="F6" s="22"/>
      <c r="O6" s="30"/>
      <c r="Q6" s="30"/>
      <c r="R6" s="30"/>
    </row>
    <row r="7" spans="1:18" x14ac:dyDescent="0.25">
      <c r="A7" s="21" t="s">
        <v>149</v>
      </c>
      <c r="B7" s="22"/>
      <c r="C7" s="21"/>
      <c r="D7" s="22">
        <f>Tabela14[[#Totals],[CUSTO MÉDIO MENSAL (R$)]]</f>
        <v>16745.810000000005</v>
      </c>
      <c r="E7" s="22">
        <f t="shared" si="0"/>
        <v>200949.72000000006</v>
      </c>
      <c r="F7" s="22"/>
      <c r="O7" s="30"/>
      <c r="Q7" s="30"/>
      <c r="R7" s="30"/>
    </row>
    <row r="8" spans="1:18" x14ac:dyDescent="0.25">
      <c r="A8" s="21" t="s">
        <v>107</v>
      </c>
      <c r="B8" s="21"/>
      <c r="C8" s="21"/>
      <c r="D8" s="29">
        <f>SUM(D4:D7)</f>
        <v>131103.44964815589</v>
      </c>
      <c r="E8" s="22">
        <f>SUM(E4:E7)</f>
        <v>1573241.3957778704</v>
      </c>
      <c r="F8" s="22"/>
      <c r="Q8" s="30"/>
      <c r="R8" s="30"/>
    </row>
    <row r="9" spans="1:18" x14ac:dyDescent="0.25">
      <c r="A9" s="189" t="s">
        <v>121</v>
      </c>
      <c r="B9" s="189"/>
      <c r="C9" s="189"/>
      <c r="D9" s="75">
        <f>D8</f>
        <v>131103.44964815589</v>
      </c>
      <c r="E9" s="75">
        <f>E8</f>
        <v>1573241.3957778704</v>
      </c>
      <c r="F9" s="75"/>
      <c r="Q9" s="30"/>
      <c r="R9" s="30"/>
    </row>
    <row r="12" spans="1:18" ht="18.75" x14ac:dyDescent="0.3">
      <c r="A12" s="182" t="s">
        <v>278</v>
      </c>
      <c r="B12" s="183"/>
      <c r="C12" s="183"/>
      <c r="D12" s="183"/>
      <c r="E12" s="183"/>
      <c r="F12" s="184"/>
    </row>
    <row r="13" spans="1:18" x14ac:dyDescent="0.25">
      <c r="A13" s="71" t="s">
        <v>275</v>
      </c>
      <c r="B13" s="71" t="s">
        <v>276</v>
      </c>
      <c r="C13" s="71" t="s">
        <v>277</v>
      </c>
      <c r="D13" s="71" t="s">
        <v>105</v>
      </c>
      <c r="E13" s="71" t="s">
        <v>281</v>
      </c>
      <c r="F13" s="71"/>
    </row>
    <row r="14" spans="1:18" ht="90" x14ac:dyDescent="0.25">
      <c r="A14" s="164" t="s">
        <v>271</v>
      </c>
      <c r="B14" s="165">
        <f>'POR METRO'!E34</f>
        <v>17502.87</v>
      </c>
      <c r="C14" s="29">
        <f>'POR METRO'!D34</f>
        <v>4.8149401260507485</v>
      </c>
      <c r="D14" s="90">
        <f>(B14*C14)</f>
        <v>84275.271084049862</v>
      </c>
      <c r="E14" s="22">
        <f>D14*12</f>
        <v>1011303.2530085983</v>
      </c>
      <c r="F14" s="22"/>
    </row>
    <row r="15" spans="1:18" ht="90" x14ac:dyDescent="0.25">
      <c r="A15" s="164" t="s">
        <v>272</v>
      </c>
      <c r="B15" s="165">
        <f>'POR METRO'!E37</f>
        <v>581.66</v>
      </c>
      <c r="C15" s="29">
        <f>'POR METRO'!D37</f>
        <v>2.5551467181464367</v>
      </c>
      <c r="D15" s="90">
        <f t="shared" ref="D15:D17" si="1">(B15*C15)</f>
        <v>1486.2266400770563</v>
      </c>
      <c r="E15" s="22">
        <f t="shared" ref="E15:E17" si="2">D15*12</f>
        <v>17834.719680924674</v>
      </c>
      <c r="F15" s="22"/>
    </row>
    <row r="16" spans="1:18" ht="90" x14ac:dyDescent="0.25">
      <c r="A16" s="164" t="s">
        <v>273</v>
      </c>
      <c r="B16" s="165">
        <v>1350.31</v>
      </c>
      <c r="C16" s="29">
        <f>'POR METRO'!D36</f>
        <v>18.154989839461528</v>
      </c>
      <c r="D16" s="90">
        <f t="shared" si="1"/>
        <v>24514.864330123295</v>
      </c>
      <c r="E16" s="22">
        <f t="shared" si="2"/>
        <v>294178.37196147954</v>
      </c>
      <c r="F16" s="22"/>
    </row>
    <row r="17" spans="1:6" ht="105" x14ac:dyDescent="0.25">
      <c r="A17" s="164" t="s">
        <v>274</v>
      </c>
      <c r="B17" s="165">
        <v>1128.96</v>
      </c>
      <c r="C17" s="29">
        <f>'POR METRO'!D35</f>
        <v>3.6150856288405979</v>
      </c>
      <c r="D17" s="90">
        <f t="shared" si="1"/>
        <v>4081.2870715358818</v>
      </c>
      <c r="E17" s="22">
        <f t="shared" si="2"/>
        <v>48975.444858430579</v>
      </c>
      <c r="F17" s="22"/>
    </row>
    <row r="18" spans="1:6" x14ac:dyDescent="0.25">
      <c r="A18" s="166" t="s">
        <v>279</v>
      </c>
      <c r="B18" s="185"/>
      <c r="C18" s="185"/>
      <c r="D18" s="90">
        <f>E18/12</f>
        <v>16745.810000000001</v>
      </c>
      <c r="E18" s="90">
        <f>Tabela14[[#Totals],[CUSTO MÉDIO ANUAL (R$)]]</f>
        <v>200949.72</v>
      </c>
      <c r="F18" s="22"/>
    </row>
    <row r="19" spans="1:6" s="66" customFormat="1" ht="33" customHeight="1" x14ac:dyDescent="0.25">
      <c r="A19" s="186" t="s">
        <v>280</v>
      </c>
      <c r="B19" s="187"/>
      <c r="C19" s="188"/>
      <c r="D19" s="167">
        <f>SUM(D14:D18)</f>
        <v>131103.45912578612</v>
      </c>
      <c r="E19" s="167">
        <f>SUM(E14:E18)</f>
        <v>1573241.5095094331</v>
      </c>
      <c r="F19" s="167"/>
    </row>
    <row r="20" spans="1:6" x14ac:dyDescent="0.25">
      <c r="A20" s="65"/>
    </row>
    <row r="21" spans="1:6" x14ac:dyDescent="0.25">
      <c r="A21" s="65"/>
      <c r="B21" s="65"/>
      <c r="C21" s="65"/>
      <c r="D21" s="65"/>
    </row>
    <row r="22" spans="1:6" x14ac:dyDescent="0.25">
      <c r="A22" s="65"/>
      <c r="B22" s="65"/>
      <c r="C22" s="65"/>
      <c r="D22" s="65"/>
    </row>
    <row r="23" spans="1:6" x14ac:dyDescent="0.25">
      <c r="A23" s="65"/>
      <c r="B23" s="65"/>
      <c r="C23" s="65"/>
      <c r="D23" s="65"/>
    </row>
  </sheetData>
  <mergeCells count="6">
    <mergeCell ref="A12:F12"/>
    <mergeCell ref="B18:C18"/>
    <mergeCell ref="A19:C19"/>
    <mergeCell ref="A9:C9"/>
    <mergeCell ref="A1:F1"/>
    <mergeCell ref="A2:F2"/>
  </mergeCells>
  <pageMargins left="0.51181102362204722" right="0.51181102362204722" top="0.78740157480314965" bottom="0.78740157480314965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:S10"/>
  <sheetViews>
    <sheetView topLeftCell="F1" workbookViewId="0">
      <selection activeCell="Q8" sqref="Q8"/>
    </sheetView>
  </sheetViews>
  <sheetFormatPr defaultRowHeight="15" x14ac:dyDescent="0.25"/>
  <cols>
    <col min="9" max="9" width="10" customWidth="1"/>
    <col min="11" max="11" width="11.5703125" customWidth="1"/>
    <col min="17" max="17" width="11.28515625" bestFit="1" customWidth="1"/>
    <col min="18" max="18" width="15.28515625" customWidth="1"/>
    <col min="19" max="19" width="13.140625" bestFit="1" customWidth="1"/>
  </cols>
  <sheetData>
    <row r="2" spans="9:19" ht="15.75" thickBot="1" x14ac:dyDescent="0.3"/>
    <row r="3" spans="9:19" ht="15.75" thickBot="1" x14ac:dyDescent="0.3">
      <c r="I3" s="216" t="s">
        <v>284</v>
      </c>
      <c r="J3" s="217"/>
      <c r="K3" s="217"/>
      <c r="L3" s="217"/>
      <c r="M3" s="217"/>
      <c r="N3" s="217"/>
      <c r="O3" s="217"/>
      <c r="P3" s="217"/>
      <c r="Q3" s="217"/>
      <c r="R3" s="218"/>
    </row>
    <row r="4" spans="9:19" ht="77.25" thickBot="1" x14ac:dyDescent="0.3">
      <c r="I4" s="168" t="s">
        <v>102</v>
      </c>
      <c r="J4" s="169" t="s">
        <v>285</v>
      </c>
      <c r="K4" s="169" t="s">
        <v>101</v>
      </c>
      <c r="L4" s="169" t="s">
        <v>286</v>
      </c>
      <c r="M4" s="170" t="s">
        <v>287</v>
      </c>
      <c r="N4" s="170" t="s">
        <v>288</v>
      </c>
      <c r="O4" s="170" t="s">
        <v>289</v>
      </c>
      <c r="P4" s="170" t="s">
        <v>290</v>
      </c>
      <c r="Q4" s="169" t="s">
        <v>291</v>
      </c>
      <c r="R4" s="169" t="s">
        <v>107</v>
      </c>
    </row>
    <row r="5" spans="9:19" ht="32.25" thickBot="1" x14ac:dyDescent="0.3">
      <c r="I5" s="171">
        <v>1200</v>
      </c>
      <c r="J5" s="172" t="s">
        <v>142</v>
      </c>
      <c r="K5" s="173">
        <v>17502.87</v>
      </c>
      <c r="L5" s="174">
        <v>3.83</v>
      </c>
      <c r="M5" s="175">
        <v>4.9800000000000004</v>
      </c>
      <c r="N5" s="175">
        <v>4.34</v>
      </c>
      <c r="O5" s="179">
        <v>4.8149401260507485</v>
      </c>
      <c r="P5" s="175">
        <v>4.47</v>
      </c>
      <c r="Q5" s="180">
        <f>SUM(L5:P5)/5</f>
        <v>4.4869880252101497</v>
      </c>
      <c r="R5" s="173">
        <f>((Q5*K5)*30)</f>
        <v>2356055.0429042992</v>
      </c>
    </row>
    <row r="6" spans="9:19" ht="79.5" thickBot="1" x14ac:dyDescent="0.3">
      <c r="I6" s="171">
        <v>1500</v>
      </c>
      <c r="J6" s="172" t="s">
        <v>292</v>
      </c>
      <c r="K6" s="173">
        <v>1128.96</v>
      </c>
      <c r="L6" s="174">
        <v>1.81</v>
      </c>
      <c r="M6" s="175">
        <v>2.36</v>
      </c>
      <c r="N6" s="175">
        <v>3.47</v>
      </c>
      <c r="O6" s="179">
        <v>3.6150856288405979</v>
      </c>
      <c r="P6" s="175">
        <v>2.5099999999999998</v>
      </c>
      <c r="Q6" s="180">
        <f t="shared" ref="Q6:Q8" si="0">SUM(L6:P6)/5</f>
        <v>2.7530171257681197</v>
      </c>
      <c r="R6" s="173">
        <f t="shared" ref="R6:R8" si="1">((Q6*K6)*30)</f>
        <v>93241.386429215287</v>
      </c>
    </row>
    <row r="7" spans="9:19" ht="32.25" thickBot="1" x14ac:dyDescent="0.3">
      <c r="I7" s="176">
        <v>380</v>
      </c>
      <c r="J7" s="172" t="s">
        <v>143</v>
      </c>
      <c r="K7" s="173">
        <v>1350.31</v>
      </c>
      <c r="L7" s="174">
        <v>19.57</v>
      </c>
      <c r="M7" s="175">
        <v>6.15</v>
      </c>
      <c r="N7" s="175">
        <v>19.57</v>
      </c>
      <c r="O7" s="179">
        <v>18.154989839461528</v>
      </c>
      <c r="P7" s="175">
        <v>16.989999999999998</v>
      </c>
      <c r="Q7" s="180">
        <f t="shared" si="0"/>
        <v>16.086997967892305</v>
      </c>
      <c r="R7" s="173">
        <f t="shared" si="1"/>
        <v>651673.02678073978</v>
      </c>
    </row>
    <row r="8" spans="9:19" ht="32.25" thickBot="1" x14ac:dyDescent="0.3">
      <c r="I8" s="171">
        <v>2700</v>
      </c>
      <c r="J8" s="172" t="s">
        <v>293</v>
      </c>
      <c r="K8" s="174">
        <v>581.66</v>
      </c>
      <c r="L8" s="174">
        <v>1.7</v>
      </c>
      <c r="M8" s="175">
        <v>2.4900000000000002</v>
      </c>
      <c r="N8" s="175">
        <v>1.93</v>
      </c>
      <c r="O8" s="179">
        <v>2.5551467181464367</v>
      </c>
      <c r="P8" s="175">
        <v>3.1</v>
      </c>
      <c r="Q8" s="180">
        <f t="shared" si="0"/>
        <v>2.3550293436292873</v>
      </c>
      <c r="R8" s="173">
        <f t="shared" si="1"/>
        <v>41094.791040462333</v>
      </c>
    </row>
    <row r="9" spans="9:19" ht="31.5" customHeight="1" thickBot="1" x14ac:dyDescent="0.3">
      <c r="I9" s="219" t="s">
        <v>294</v>
      </c>
      <c r="J9" s="220"/>
      <c r="K9" s="220"/>
      <c r="L9" s="220"/>
      <c r="M9" s="220"/>
      <c r="N9" s="220"/>
      <c r="O9" s="220"/>
      <c r="P9" s="220"/>
      <c r="Q9" s="221"/>
      <c r="R9" s="177">
        <f>200949.72*2.5</f>
        <v>502374.3</v>
      </c>
    </row>
    <row r="10" spans="9:19" ht="16.5" thickBot="1" x14ac:dyDescent="0.3">
      <c r="I10" s="222" t="s">
        <v>295</v>
      </c>
      <c r="J10" s="223"/>
      <c r="K10" s="223"/>
      <c r="L10" s="223"/>
      <c r="M10" s="223"/>
      <c r="N10" s="223"/>
      <c r="O10" s="223"/>
      <c r="P10" s="223"/>
      <c r="Q10" s="224"/>
      <c r="R10" s="178">
        <f>SUM(R5:R9)</f>
        <v>3644438.5471547167</v>
      </c>
      <c r="S10" s="178"/>
    </row>
  </sheetData>
  <mergeCells count="3">
    <mergeCell ref="I3:R3"/>
    <mergeCell ref="I9:Q9"/>
    <mergeCell ref="I10:Q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7"/>
  <sheetViews>
    <sheetView topLeftCell="A14" zoomScale="55" zoomScaleNormal="55" workbookViewId="0">
      <selection activeCell="D35" sqref="D35"/>
    </sheetView>
  </sheetViews>
  <sheetFormatPr defaultRowHeight="15" x14ac:dyDescent="0.25"/>
  <cols>
    <col min="1" max="1" width="26.28515625" bestFit="1" customWidth="1"/>
    <col min="2" max="2" width="22.5703125" bestFit="1" customWidth="1"/>
    <col min="3" max="3" width="51.140625" customWidth="1"/>
    <col min="4" max="4" width="19.28515625" bestFit="1" customWidth="1"/>
    <col min="5" max="5" width="41.7109375" bestFit="1" customWidth="1"/>
    <col min="6" max="6" width="34.42578125" bestFit="1" customWidth="1"/>
    <col min="7" max="7" width="36.140625" customWidth="1"/>
    <col min="8" max="8" width="33.140625" bestFit="1" customWidth="1"/>
    <col min="9" max="10" width="32.85546875" bestFit="1" customWidth="1"/>
    <col min="11" max="11" width="17.42578125" bestFit="1" customWidth="1"/>
    <col min="12" max="12" width="15" bestFit="1" customWidth="1"/>
    <col min="13" max="15" width="11.140625" bestFit="1" customWidth="1"/>
    <col min="16" max="16" width="10.140625" bestFit="1" customWidth="1"/>
    <col min="17" max="17" width="11.140625" bestFit="1" customWidth="1"/>
  </cols>
  <sheetData>
    <row r="2" spans="3:17" ht="75" customHeight="1" x14ac:dyDescent="0.25"/>
    <row r="3" spans="3:17" x14ac:dyDescent="0.25">
      <c r="C3" s="193" t="s">
        <v>142</v>
      </c>
      <c r="D3" s="193"/>
      <c r="E3" s="193"/>
      <c r="F3" s="193"/>
      <c r="G3" s="193"/>
    </row>
    <row r="4" spans="3:17" x14ac:dyDescent="0.25">
      <c r="C4" s="21" t="s">
        <v>99</v>
      </c>
      <c r="D4" s="21" t="s">
        <v>90</v>
      </c>
      <c r="E4" s="21" t="s">
        <v>91</v>
      </c>
      <c r="F4" s="21" t="s">
        <v>92</v>
      </c>
      <c r="G4" s="21" t="s">
        <v>97</v>
      </c>
    </row>
    <row r="5" spans="3:17" x14ac:dyDescent="0.25">
      <c r="C5" s="22">
        <f>B34</f>
        <v>1200</v>
      </c>
      <c r="D5" s="21" t="s">
        <v>94</v>
      </c>
      <c r="E5" s="34">
        <f>1/C5</f>
        <v>8.3333333333333339E-4</v>
      </c>
      <c r="F5" s="22">
        <f>$D$41</f>
        <v>5069.4201539571222</v>
      </c>
      <c r="G5" s="22">
        <f>E5*F5</f>
        <v>4.224516794964269</v>
      </c>
      <c r="I5" s="28"/>
      <c r="K5" s="28"/>
    </row>
    <row r="6" spans="3:17" x14ac:dyDescent="0.25">
      <c r="C6" s="22">
        <f>B34</f>
        <v>1200</v>
      </c>
      <c r="D6" s="21" t="s">
        <v>135</v>
      </c>
      <c r="E6" s="21">
        <f>(1/(20*C6))</f>
        <v>4.1666666666666665E-5</v>
      </c>
      <c r="F6" s="22">
        <f>D43</f>
        <v>7064.1657860755076</v>
      </c>
      <c r="G6" s="22">
        <f>E6*F6</f>
        <v>0.29434024108647949</v>
      </c>
      <c r="I6" s="28"/>
      <c r="K6" s="28"/>
      <c r="L6" s="28"/>
      <c r="M6" s="28"/>
      <c r="N6" s="28"/>
    </row>
    <row r="7" spans="3:17" x14ac:dyDescent="0.25">
      <c r="C7" s="21"/>
      <c r="D7" s="21"/>
      <c r="E7" s="21"/>
      <c r="F7" s="21"/>
      <c r="G7" s="22">
        <f>SUM(G5:G6)+E46</f>
        <v>4.8149401260507485</v>
      </c>
      <c r="I7" s="28"/>
      <c r="J7" s="28"/>
      <c r="M7" s="28"/>
      <c r="N7" s="28"/>
      <c r="O7" s="28"/>
    </row>
    <row r="8" spans="3:17" x14ac:dyDescent="0.25">
      <c r="C8" s="21"/>
      <c r="D8" s="21"/>
      <c r="E8" s="21"/>
      <c r="F8" s="21"/>
      <c r="G8" s="22"/>
      <c r="I8" s="28"/>
      <c r="J8" s="28"/>
      <c r="N8" s="28"/>
      <c r="O8" s="28"/>
    </row>
    <row r="9" spans="3:17" x14ac:dyDescent="0.25">
      <c r="C9" s="21"/>
      <c r="D9" s="21"/>
      <c r="E9" s="21"/>
      <c r="F9" s="21"/>
      <c r="G9" s="22"/>
      <c r="I9" s="28"/>
      <c r="J9" s="28"/>
      <c r="N9" s="28"/>
      <c r="O9" s="28"/>
    </row>
    <row r="10" spans="3:17" x14ac:dyDescent="0.25">
      <c r="C10" s="21"/>
      <c r="D10" s="21"/>
      <c r="E10" s="21"/>
      <c r="F10" s="21"/>
      <c r="G10" s="22"/>
      <c r="L10" s="28"/>
      <c r="M10" s="30"/>
    </row>
    <row r="11" spans="3:17" x14ac:dyDescent="0.25">
      <c r="C11" s="193" t="s">
        <v>141</v>
      </c>
      <c r="D11" s="193"/>
      <c r="E11" s="193"/>
      <c r="F11" s="193"/>
      <c r="G11" s="193"/>
      <c r="L11" s="28"/>
      <c r="M11" s="30"/>
      <c r="N11" s="30"/>
    </row>
    <row r="12" spans="3:17" x14ac:dyDescent="0.25">
      <c r="C12" s="21" t="s">
        <v>100</v>
      </c>
      <c r="D12" s="21" t="s">
        <v>90</v>
      </c>
      <c r="E12" s="21" t="s">
        <v>91</v>
      </c>
      <c r="F12" s="21" t="s">
        <v>92</v>
      </c>
      <c r="G12" s="21" t="s">
        <v>97</v>
      </c>
      <c r="L12" s="28"/>
      <c r="M12" s="28"/>
    </row>
    <row r="13" spans="3:17" x14ac:dyDescent="0.25">
      <c r="C13" s="22">
        <f>B35</f>
        <v>1500</v>
      </c>
      <c r="D13" s="21" t="s">
        <v>94</v>
      </c>
      <c r="E13" s="34">
        <f>1/C13</f>
        <v>6.6666666666666664E-4</v>
      </c>
      <c r="F13" s="22">
        <f>$D$41</f>
        <v>5069.4201539571222</v>
      </c>
      <c r="G13" s="22">
        <f>E13*F13</f>
        <v>3.3796134359714145</v>
      </c>
      <c r="P13" s="30"/>
      <c r="Q13" s="30"/>
    </row>
    <row r="14" spans="3:17" x14ac:dyDescent="0.25">
      <c r="C14" s="22">
        <f>B35</f>
        <v>1500</v>
      </c>
      <c r="D14" s="21" t="str">
        <f>D6</f>
        <v>encarregado</v>
      </c>
      <c r="E14" s="21">
        <f>(1/(20*C14))</f>
        <v>3.3333333333333335E-5</v>
      </c>
      <c r="F14" s="22">
        <f>F6</f>
        <v>7064.1657860755076</v>
      </c>
      <c r="G14" s="22">
        <f>E14*F14</f>
        <v>0.23547219286918361</v>
      </c>
    </row>
    <row r="15" spans="3:17" x14ac:dyDescent="0.25">
      <c r="C15" s="21"/>
      <c r="D15" s="21"/>
      <c r="E15" s="21"/>
      <c r="F15" s="21"/>
      <c r="G15" s="22">
        <f>SUM(G13:G14)</f>
        <v>3.6150856288405979</v>
      </c>
      <c r="M15" s="28"/>
      <c r="N15" s="28"/>
    </row>
    <row r="16" spans="3:17" x14ac:dyDescent="0.25">
      <c r="C16" s="35"/>
      <c r="D16" s="35"/>
      <c r="E16" s="35"/>
      <c r="F16" s="35"/>
      <c r="G16" s="36"/>
      <c r="M16" s="28"/>
      <c r="N16" s="28"/>
    </row>
    <row r="17" spans="3:15" x14ac:dyDescent="0.25">
      <c r="C17" s="193" t="s">
        <v>143</v>
      </c>
      <c r="D17" s="193"/>
      <c r="E17" s="193"/>
      <c r="F17" s="193"/>
      <c r="G17" s="193"/>
      <c r="M17" s="28"/>
      <c r="N17" s="28"/>
    </row>
    <row r="18" spans="3:15" x14ac:dyDescent="0.25">
      <c r="C18" s="21" t="s">
        <v>100</v>
      </c>
      <c r="D18" s="21" t="s">
        <v>90</v>
      </c>
      <c r="E18" s="21" t="s">
        <v>91</v>
      </c>
      <c r="F18" s="21" t="s">
        <v>92</v>
      </c>
      <c r="G18" s="21" t="s">
        <v>97</v>
      </c>
      <c r="M18" s="28"/>
      <c r="N18" s="28"/>
    </row>
    <row r="19" spans="3:15" x14ac:dyDescent="0.25">
      <c r="C19" s="22">
        <f>B36</f>
        <v>380</v>
      </c>
      <c r="D19" s="21" t="s">
        <v>94</v>
      </c>
      <c r="E19" s="34">
        <f>1/C19</f>
        <v>2.631578947368421E-3</v>
      </c>
      <c r="F19" s="22">
        <f>D42</f>
        <v>6545.6878496916042</v>
      </c>
      <c r="G19" s="90">
        <f>E19*F19</f>
        <v>17.225494341293697</v>
      </c>
      <c r="M19" s="28"/>
      <c r="N19" s="28"/>
    </row>
    <row r="20" spans="3:15" x14ac:dyDescent="0.25">
      <c r="C20" s="22">
        <f>B36</f>
        <v>380</v>
      </c>
      <c r="D20" s="21" t="str">
        <f>D12</f>
        <v>mão de obra</v>
      </c>
      <c r="E20" s="21">
        <f>(1/(20*C20))</f>
        <v>1.3157894736842105E-4</v>
      </c>
      <c r="F20" s="22">
        <f>F14</f>
        <v>7064.1657860755076</v>
      </c>
      <c r="G20" s="90">
        <f>E20*F20</f>
        <v>0.92949549816782995</v>
      </c>
      <c r="M20" s="28"/>
      <c r="N20" s="28"/>
    </row>
    <row r="21" spans="3:15" x14ac:dyDescent="0.25">
      <c r="C21" s="21"/>
      <c r="D21" s="21"/>
      <c r="E21" s="21"/>
      <c r="F21" s="21"/>
      <c r="G21" s="22">
        <f>SUM(G19:G20)</f>
        <v>18.154989839461528</v>
      </c>
      <c r="M21" s="28"/>
      <c r="N21" s="28"/>
    </row>
    <row r="22" spans="3:15" x14ac:dyDescent="0.25">
      <c r="C22" s="35"/>
      <c r="D22" s="35"/>
      <c r="E22" s="35"/>
      <c r="F22" s="35"/>
      <c r="G22" s="36"/>
      <c r="M22" s="28"/>
      <c r="N22" s="28"/>
    </row>
    <row r="23" spans="3:15" x14ac:dyDescent="0.25">
      <c r="C23" s="35"/>
      <c r="D23" s="35"/>
      <c r="E23" s="35"/>
      <c r="F23" s="35"/>
      <c r="G23" s="36"/>
      <c r="M23" s="28"/>
      <c r="N23" s="28"/>
    </row>
    <row r="24" spans="3:15" x14ac:dyDescent="0.25">
      <c r="C24" s="35"/>
      <c r="D24" s="35"/>
      <c r="E24" s="35"/>
      <c r="F24" s="35"/>
      <c r="G24" s="36"/>
      <c r="M24" s="28"/>
      <c r="N24" s="28"/>
    </row>
    <row r="25" spans="3:15" x14ac:dyDescent="0.25">
      <c r="C25" s="193" t="str">
        <f>C37</f>
        <v>Aréas externas</v>
      </c>
      <c r="D25" s="193"/>
      <c r="E25" s="193"/>
      <c r="F25" s="193"/>
      <c r="G25" s="193"/>
      <c r="H25" s="97"/>
      <c r="I25" s="97"/>
      <c r="J25" s="97"/>
      <c r="M25" s="28"/>
    </row>
    <row r="26" spans="3:15" x14ac:dyDescent="0.25">
      <c r="C26" s="21" t="s">
        <v>100</v>
      </c>
      <c r="D26" s="21" t="s">
        <v>90</v>
      </c>
      <c r="E26" s="21" t="s">
        <v>91</v>
      </c>
      <c r="F26" s="21" t="s">
        <v>92</v>
      </c>
      <c r="G26" s="21" t="s">
        <v>96</v>
      </c>
      <c r="H26" s="96"/>
      <c r="I26" s="96"/>
      <c r="J26" s="96"/>
      <c r="N26" s="28"/>
      <c r="O26" s="30"/>
    </row>
    <row r="27" spans="3:15" x14ac:dyDescent="0.25">
      <c r="C27" s="22">
        <f>B37</f>
        <v>2700</v>
      </c>
      <c r="D27" s="21" t="s">
        <v>94</v>
      </c>
      <c r="E27" s="99">
        <f>1/C27</f>
        <v>3.7037037037037035E-4</v>
      </c>
      <c r="F27" s="22">
        <f>F19</f>
        <v>6545.6878496916042</v>
      </c>
      <c r="G27" s="90">
        <f>E27*F27</f>
        <v>2.4243288332191124</v>
      </c>
      <c r="H27" s="96"/>
      <c r="I27" s="98"/>
      <c r="J27" s="98"/>
    </row>
    <row r="28" spans="3:15" x14ac:dyDescent="0.25">
      <c r="C28" s="22">
        <f>B37</f>
        <v>2700</v>
      </c>
      <c r="D28" s="21" t="str">
        <f>D14</f>
        <v>encarregado</v>
      </c>
      <c r="E28" s="21">
        <f>(1/(20*C28))</f>
        <v>1.8518518518518518E-5</v>
      </c>
      <c r="F28" s="22">
        <f>F20</f>
        <v>7064.1657860755076</v>
      </c>
      <c r="G28" s="90">
        <f>E28*F28</f>
        <v>0.13081788492732421</v>
      </c>
      <c r="H28" s="96"/>
      <c r="I28" s="98"/>
      <c r="J28" s="98"/>
    </row>
    <row r="29" spans="3:15" x14ac:dyDescent="0.25">
      <c r="C29" s="21"/>
      <c r="D29" s="21"/>
      <c r="E29" s="21"/>
      <c r="F29" s="21"/>
      <c r="G29" s="22">
        <f>SUM(G27:G28)</f>
        <v>2.5551467181464367</v>
      </c>
      <c r="H29" s="96"/>
      <c r="I29" s="96"/>
      <c r="J29" s="98"/>
    </row>
    <row r="33" spans="1:15" ht="23.25" x14ac:dyDescent="0.35">
      <c r="A33" s="73" t="s">
        <v>138</v>
      </c>
      <c r="B33" s="73" t="s">
        <v>102</v>
      </c>
      <c r="C33" s="73"/>
      <c r="D33" s="73" t="s">
        <v>110</v>
      </c>
      <c r="E33" s="73" t="s">
        <v>101</v>
      </c>
      <c r="F33" s="73" t="s">
        <v>95</v>
      </c>
      <c r="G33" s="73" t="s">
        <v>130</v>
      </c>
      <c r="H33" s="73" t="s">
        <v>283</v>
      </c>
      <c r="J33" s="73" t="s">
        <v>98</v>
      </c>
    </row>
    <row r="34" spans="1:15" ht="23.25" x14ac:dyDescent="0.35">
      <c r="A34" s="59" t="s">
        <v>139</v>
      </c>
      <c r="B34" s="59">
        <v>1200</v>
      </c>
      <c r="C34" s="60" t="s">
        <v>142</v>
      </c>
      <c r="D34" s="58">
        <f>G7</f>
        <v>4.8149401260507485</v>
      </c>
      <c r="E34" s="94">
        <v>17502.87</v>
      </c>
      <c r="F34" s="58">
        <v>1</v>
      </c>
      <c r="G34" s="58">
        <f>D34*E34*F34</f>
        <v>84275.271084049862</v>
      </c>
      <c r="H34" s="58">
        <f>G34*12</f>
        <v>1011303.2530085983</v>
      </c>
      <c r="I34" s="30"/>
      <c r="J34" s="59">
        <f>E34/B34</f>
        <v>14.585724999999998</v>
      </c>
    </row>
    <row r="35" spans="1:15" ht="23.25" x14ac:dyDescent="0.35">
      <c r="A35" s="59" t="s">
        <v>144</v>
      </c>
      <c r="B35" s="59">
        <v>1500</v>
      </c>
      <c r="C35" s="60" t="s">
        <v>141</v>
      </c>
      <c r="D35" s="58">
        <f>G15</f>
        <v>3.6150856288405979</v>
      </c>
      <c r="E35" s="94">
        <v>1128.96</v>
      </c>
      <c r="F35" s="58">
        <v>1</v>
      </c>
      <c r="G35" s="58">
        <f>D35*E35*F35</f>
        <v>4081.2870715358818</v>
      </c>
      <c r="H35" s="58">
        <f t="shared" ref="H35:H37" si="0">G35*12</f>
        <v>48975.444858430579</v>
      </c>
      <c r="I35" s="30"/>
      <c r="J35" s="59">
        <f>E35/B35</f>
        <v>0.75263999999999998</v>
      </c>
      <c r="M35" s="28"/>
    </row>
    <row r="36" spans="1:15" ht="23.25" x14ac:dyDescent="0.35">
      <c r="A36" s="59" t="s">
        <v>140</v>
      </c>
      <c r="B36" s="59">
        <v>380</v>
      </c>
      <c r="C36" s="60" t="s">
        <v>143</v>
      </c>
      <c r="D36" s="58">
        <f>G21</f>
        <v>18.154989839461528</v>
      </c>
      <c r="E36" s="94">
        <v>1350.31</v>
      </c>
      <c r="F36" s="58">
        <v>1</v>
      </c>
      <c r="G36" s="58">
        <f>D36*E36*F36</f>
        <v>24514.864330123295</v>
      </c>
      <c r="H36" s="58">
        <f t="shared" si="0"/>
        <v>294178.37196147954</v>
      </c>
      <c r="I36" s="30"/>
      <c r="J36" s="59">
        <f>E36/B36</f>
        <v>3.5534473684210526</v>
      </c>
      <c r="M36" s="28"/>
    </row>
    <row r="37" spans="1:15" ht="23.25" x14ac:dyDescent="0.35">
      <c r="A37" s="59" t="s">
        <v>147</v>
      </c>
      <c r="B37" s="59">
        <v>2700</v>
      </c>
      <c r="C37" s="60" t="s">
        <v>146</v>
      </c>
      <c r="D37" s="58">
        <f>G29</f>
        <v>2.5551467181464367</v>
      </c>
      <c r="E37" s="94">
        <f>507.02+74.64</f>
        <v>581.66</v>
      </c>
      <c r="F37" s="58">
        <v>1</v>
      </c>
      <c r="G37" s="58">
        <f>D37*E37*F37</f>
        <v>1486.2266400770563</v>
      </c>
      <c r="H37" s="58">
        <f t="shared" si="0"/>
        <v>17834.719680924674</v>
      </c>
      <c r="I37" s="30"/>
      <c r="J37" s="59">
        <f>E37/B37</f>
        <v>0.21542962962962961</v>
      </c>
    </row>
    <row r="38" spans="1:15" ht="23.25" x14ac:dyDescent="0.35">
      <c r="A38" s="21"/>
      <c r="B38" s="60"/>
      <c r="C38" s="73" t="s">
        <v>97</v>
      </c>
      <c r="D38" s="73"/>
      <c r="E38" s="76">
        <f>SUM(E34:E37)</f>
        <v>20563.8</v>
      </c>
      <c r="F38" s="76"/>
      <c r="G38" s="76">
        <f>SUM(G34:G37)</f>
        <v>114357.64912578611</v>
      </c>
      <c r="H38" s="76">
        <f>SUM(H34:H37)-0.04</f>
        <v>1372291.7495094331</v>
      </c>
      <c r="J38" s="95">
        <f>SUM(J34:J37)</f>
        <v>19.107241998050679</v>
      </c>
      <c r="M38" s="28"/>
    </row>
    <row r="39" spans="1:15" ht="23.25" x14ac:dyDescent="0.35">
      <c r="B39" s="61"/>
      <c r="C39" s="61"/>
      <c r="D39" s="61"/>
      <c r="E39" s="61"/>
      <c r="F39" s="62"/>
      <c r="G39" s="61"/>
      <c r="M39" s="28"/>
      <c r="O39" s="30"/>
    </row>
    <row r="40" spans="1:15" x14ac:dyDescent="0.25">
      <c r="B40" t="s">
        <v>103</v>
      </c>
      <c r="C40" s="71" t="s">
        <v>108</v>
      </c>
      <c r="D40" s="71" t="s">
        <v>104</v>
      </c>
      <c r="E40" s="71" t="s">
        <v>106</v>
      </c>
      <c r="F40" s="71" t="s">
        <v>105</v>
      </c>
      <c r="G40" s="71" t="s">
        <v>281</v>
      </c>
      <c r="I40" s="28"/>
    </row>
    <row r="41" spans="1:15" x14ac:dyDescent="0.25">
      <c r="C41" s="74" t="s">
        <v>94</v>
      </c>
      <c r="D41" s="72">
        <f>'AGENTE DE LIMPEZA '!C139</f>
        <v>5069.4201539571222</v>
      </c>
      <c r="E41" s="74">
        <v>16</v>
      </c>
      <c r="F41" s="72">
        <f>D41*E41</f>
        <v>81110.722463313956</v>
      </c>
      <c r="G41" s="72">
        <f>F41*12</f>
        <v>973328.66955976747</v>
      </c>
      <c r="I41" s="30"/>
    </row>
    <row r="42" spans="1:15" x14ac:dyDescent="0.25">
      <c r="C42" s="74" t="s">
        <v>148</v>
      </c>
      <c r="D42" s="72">
        <f>'AGENTE DE LIMPEZA banheirista'!C138</f>
        <v>6545.6878496916042</v>
      </c>
      <c r="E42" s="74">
        <v>4</v>
      </c>
      <c r="F42" s="72">
        <f>D42*E42</f>
        <v>26182.751398766417</v>
      </c>
      <c r="G42" s="72">
        <f t="shared" ref="G42:G43" si="1">F42*12</f>
        <v>314193.01678519702</v>
      </c>
      <c r="I42" s="30"/>
    </row>
    <row r="43" spans="1:15" x14ac:dyDescent="0.25">
      <c r="C43" s="74" t="s">
        <v>135</v>
      </c>
      <c r="D43" s="72">
        <f>ENCARREGADA!C139</f>
        <v>7064.1657860755076</v>
      </c>
      <c r="E43" s="74">
        <v>1</v>
      </c>
      <c r="F43" s="72">
        <f>D43*E43</f>
        <v>7064.1657860755076</v>
      </c>
      <c r="G43" s="72">
        <f t="shared" si="1"/>
        <v>84769.989432906092</v>
      </c>
      <c r="I43" s="28"/>
    </row>
    <row r="44" spans="1:15" x14ac:dyDescent="0.25">
      <c r="C44" s="74" t="s">
        <v>107</v>
      </c>
      <c r="D44" s="74"/>
      <c r="E44" s="74"/>
      <c r="F44" s="75">
        <f>SUM(F41:F43)</f>
        <v>114357.63964815588</v>
      </c>
      <c r="G44" s="75">
        <f>SUM(G41:G43)</f>
        <v>1372291.6757778705</v>
      </c>
      <c r="I44" s="28"/>
      <c r="J44" s="28"/>
    </row>
    <row r="46" spans="1:15" x14ac:dyDescent="0.25">
      <c r="C46" s="30" t="s">
        <v>111</v>
      </c>
      <c r="D46" s="30"/>
      <c r="E46" s="33">
        <v>0.29608308999999999</v>
      </c>
      <c r="F46" s="28">
        <f>G38-F44</f>
        <v>9.4776302285026759E-3</v>
      </c>
    </row>
    <row r="48" spans="1:15" ht="18" x14ac:dyDescent="0.25">
      <c r="C48" s="192"/>
      <c r="D48" s="192"/>
      <c r="E48" s="192"/>
      <c r="F48" s="192"/>
      <c r="G48" s="192"/>
      <c r="H48" s="28"/>
      <c r="I48" s="28"/>
      <c r="J48" s="30"/>
    </row>
    <row r="49" spans="3:10" ht="21" x14ac:dyDescent="0.35">
      <c r="C49" s="64"/>
    </row>
    <row r="50" spans="3:10" ht="21" x14ac:dyDescent="0.35">
      <c r="C50" s="64"/>
      <c r="D50" s="65"/>
      <c r="E50" s="65"/>
      <c r="J50" s="28"/>
    </row>
    <row r="51" spans="3:10" x14ac:dyDescent="0.25">
      <c r="C51" s="65"/>
    </row>
    <row r="52" spans="3:10" ht="21" x14ac:dyDescent="0.35">
      <c r="C52" s="64"/>
    </row>
    <row r="53" spans="3:10" x14ac:dyDescent="0.25">
      <c r="C53" s="65"/>
      <c r="D53" s="65"/>
      <c r="E53" s="65"/>
    </row>
    <row r="55" spans="3:10" ht="23.25" x14ac:dyDescent="0.35">
      <c r="C55" s="65"/>
      <c r="D55" s="58">
        <v>4.8149401260507503</v>
      </c>
    </row>
    <row r="56" spans="3:10" ht="23.25" x14ac:dyDescent="0.35">
      <c r="C56" s="65"/>
      <c r="D56" s="58">
        <v>3.6150856288405979</v>
      </c>
    </row>
    <row r="57" spans="3:10" ht="23.25" x14ac:dyDescent="0.35">
      <c r="C57" s="65"/>
      <c r="D57" s="58">
        <v>18.154989839461528</v>
      </c>
    </row>
    <row r="58" spans="3:10" ht="23.25" x14ac:dyDescent="0.35">
      <c r="C58" s="65"/>
      <c r="D58" s="58">
        <v>2.5551467181464367</v>
      </c>
    </row>
    <row r="59" spans="3:10" x14ac:dyDescent="0.25">
      <c r="C59" s="65"/>
    </row>
    <row r="60" spans="3:10" x14ac:dyDescent="0.25">
      <c r="C60" s="65"/>
      <c r="D60" s="65"/>
      <c r="E60" s="65"/>
      <c r="F60" s="65"/>
    </row>
    <row r="61" spans="3:10" x14ac:dyDescent="0.25">
      <c r="C61" s="65"/>
      <c r="D61" s="65"/>
      <c r="E61" s="65"/>
      <c r="F61" s="65"/>
    </row>
    <row r="62" spans="3:10" x14ac:dyDescent="0.25">
      <c r="C62" s="65"/>
      <c r="D62" s="65"/>
      <c r="E62" s="65"/>
      <c r="F62" s="65"/>
    </row>
    <row r="88" spans="9:12" x14ac:dyDescent="0.25">
      <c r="I88" s="35"/>
      <c r="J88" s="35"/>
      <c r="K88" s="35"/>
    </row>
    <row r="89" spans="9:12" x14ac:dyDescent="0.25">
      <c r="I89" s="35"/>
      <c r="J89" s="35"/>
      <c r="K89" s="35"/>
    </row>
    <row r="90" spans="9:12" x14ac:dyDescent="0.25">
      <c r="I90" s="149"/>
      <c r="J90" s="150"/>
      <c r="K90" s="151"/>
      <c r="L90" s="28"/>
    </row>
    <row r="91" spans="9:12" x14ac:dyDescent="0.25">
      <c r="I91" s="152"/>
      <c r="J91" s="150"/>
      <c r="K91" s="151"/>
      <c r="L91" s="28"/>
    </row>
    <row r="92" spans="9:12" x14ac:dyDescent="0.25">
      <c r="I92" s="153"/>
      <c r="J92" s="152"/>
      <c r="K92" s="151"/>
      <c r="L92" s="28"/>
    </row>
    <row r="93" spans="9:12" x14ac:dyDescent="0.25">
      <c r="I93" s="153"/>
      <c r="J93" s="152"/>
      <c r="K93" s="151"/>
      <c r="L93" s="28"/>
    </row>
    <row r="94" spans="9:12" x14ac:dyDescent="0.25">
      <c r="I94" s="35"/>
      <c r="J94" s="35"/>
      <c r="K94" s="151"/>
      <c r="L94" s="28"/>
    </row>
    <row r="95" spans="9:12" x14ac:dyDescent="0.25">
      <c r="I95" s="35"/>
      <c r="J95" s="35"/>
      <c r="K95" s="35"/>
    </row>
    <row r="96" spans="9:12" x14ac:dyDescent="0.25">
      <c r="I96" s="35"/>
      <c r="J96" s="35"/>
      <c r="K96" s="35"/>
    </row>
    <row r="97" spans="9:11" x14ac:dyDescent="0.25">
      <c r="I97" s="35"/>
      <c r="J97" s="35"/>
      <c r="K97" s="35"/>
    </row>
  </sheetData>
  <mergeCells count="5">
    <mergeCell ref="C48:G48"/>
    <mergeCell ref="C3:G3"/>
    <mergeCell ref="C11:G11"/>
    <mergeCell ref="C17:G17"/>
    <mergeCell ref="C25:G25"/>
  </mergeCells>
  <pageMargins left="0.51181102362204722" right="0.51181102362204722" top="0.78740157480314965" bottom="0.78740157480314965" header="0.31496062992125984" footer="0.31496062992125984"/>
  <pageSetup paperSize="8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showGridLines="0" topLeftCell="A34" zoomScale="70" zoomScaleNormal="70" workbookViewId="0">
      <selection activeCell="C74" sqref="C74"/>
    </sheetView>
  </sheetViews>
  <sheetFormatPr defaultRowHeight="15.75" x14ac:dyDescent="0.25"/>
  <cols>
    <col min="1" max="1" width="9.140625" style="11"/>
    <col min="2" max="2" width="72.140625" style="11" customWidth="1"/>
    <col min="3" max="3" width="18" style="11" customWidth="1"/>
    <col min="4" max="4" width="14.28515625" style="11" customWidth="1"/>
    <col min="5" max="5" width="12.7109375" style="11" customWidth="1"/>
    <col min="6" max="6" width="12" style="11" customWidth="1"/>
    <col min="7" max="7" width="15.140625" style="11" customWidth="1"/>
    <col min="8" max="8" width="13.85546875" style="11" customWidth="1"/>
    <col min="9" max="16384" width="9.140625" style="11"/>
  </cols>
  <sheetData>
    <row r="1" spans="1:4" ht="23.25" x14ac:dyDescent="0.35">
      <c r="A1" s="201" t="s">
        <v>81</v>
      </c>
      <c r="B1" s="201"/>
      <c r="C1" s="201"/>
      <c r="D1" s="201"/>
    </row>
    <row r="2" spans="1:4" ht="23.25" x14ac:dyDescent="0.35">
      <c r="A2" s="201" t="s">
        <v>82</v>
      </c>
      <c r="B2" s="201"/>
      <c r="C2" s="201"/>
      <c r="D2" s="201"/>
    </row>
    <row r="3" spans="1:4" x14ac:dyDescent="0.25">
      <c r="A3" s="202" t="s">
        <v>83</v>
      </c>
      <c r="B3" s="202"/>
      <c r="C3" s="202"/>
      <c r="D3" s="202"/>
    </row>
    <row r="6" spans="1:4" x14ac:dyDescent="0.25">
      <c r="A6" s="203" t="s">
        <v>12</v>
      </c>
      <c r="B6" s="203"/>
      <c r="C6" s="203"/>
    </row>
    <row r="7" spans="1:4" ht="16.5" thickBot="1" x14ac:dyDescent="0.3"/>
    <row r="8" spans="1:4" ht="16.5" thickBot="1" x14ac:dyDescent="0.3">
      <c r="A8" s="3">
        <v>1</v>
      </c>
      <c r="B8" s="32" t="s">
        <v>13</v>
      </c>
      <c r="C8" s="32" t="s">
        <v>14</v>
      </c>
    </row>
    <row r="9" spans="1:4" ht="16.5" thickBot="1" x14ac:dyDescent="0.3">
      <c r="A9" s="5" t="s">
        <v>15</v>
      </c>
      <c r="B9" s="6" t="s">
        <v>16</v>
      </c>
      <c r="C9" s="13">
        <v>2566.02</v>
      </c>
    </row>
    <row r="10" spans="1:4" ht="16.5" thickBot="1" x14ac:dyDescent="0.3">
      <c r="A10" s="5" t="s">
        <v>17</v>
      </c>
      <c r="B10" s="6" t="s">
        <v>18</v>
      </c>
      <c r="C10" s="13"/>
    </row>
    <row r="11" spans="1:4" ht="16.5" thickBot="1" x14ac:dyDescent="0.3">
      <c r="A11" s="5" t="s">
        <v>19</v>
      </c>
      <c r="B11" s="6" t="s">
        <v>20</v>
      </c>
      <c r="C11" s="13"/>
    </row>
    <row r="12" spans="1:4" ht="16.5" thickBot="1" x14ac:dyDescent="0.3">
      <c r="A12" s="5" t="s">
        <v>21</v>
      </c>
      <c r="B12" s="6" t="s">
        <v>0</v>
      </c>
      <c r="C12" s="13"/>
    </row>
    <row r="13" spans="1:4" ht="16.5" thickBot="1" x14ac:dyDescent="0.3">
      <c r="A13" s="5" t="s">
        <v>22</v>
      </c>
      <c r="B13" s="6" t="s">
        <v>23</v>
      </c>
      <c r="C13" s="13"/>
    </row>
    <row r="14" spans="1:4" ht="16.5" thickBot="1" x14ac:dyDescent="0.3">
      <c r="A14" s="5"/>
      <c r="B14" s="6"/>
      <c r="C14" s="13"/>
    </row>
    <row r="15" spans="1:4" ht="16.5" thickBot="1" x14ac:dyDescent="0.3">
      <c r="A15" s="5" t="s">
        <v>25</v>
      </c>
      <c r="B15" s="6" t="s">
        <v>26</v>
      </c>
      <c r="C15" s="13"/>
    </row>
    <row r="16" spans="1:4" ht="16.5" thickBot="1" x14ac:dyDescent="0.3">
      <c r="A16" s="194" t="s">
        <v>1</v>
      </c>
      <c r="B16" s="195"/>
      <c r="C16" s="13">
        <f>C9</f>
        <v>2566.02</v>
      </c>
    </row>
    <row r="19" spans="1:4" x14ac:dyDescent="0.25">
      <c r="A19" s="197" t="s">
        <v>27</v>
      </c>
      <c r="B19" s="197"/>
      <c r="C19" s="197"/>
    </row>
    <row r="20" spans="1:4" x14ac:dyDescent="0.25">
      <c r="A20" s="2"/>
    </row>
    <row r="21" spans="1:4" x14ac:dyDescent="0.25">
      <c r="A21" s="196" t="s">
        <v>28</v>
      </c>
      <c r="B21" s="196"/>
      <c r="C21" s="196"/>
    </row>
    <row r="22" spans="1:4" ht="16.5" thickBot="1" x14ac:dyDescent="0.3"/>
    <row r="23" spans="1:4" ht="16.5" thickBot="1" x14ac:dyDescent="0.3">
      <c r="A23" s="3" t="s">
        <v>29</v>
      </c>
      <c r="B23" s="32" t="s">
        <v>30</v>
      </c>
      <c r="C23" s="32" t="s">
        <v>14</v>
      </c>
    </row>
    <row r="24" spans="1:4" ht="16.5" thickBot="1" x14ac:dyDescent="0.3">
      <c r="A24" s="5" t="s">
        <v>15</v>
      </c>
      <c r="B24" s="6" t="s">
        <v>31</v>
      </c>
      <c r="C24" s="13">
        <f>(C16/12)</f>
        <v>213.83500000000001</v>
      </c>
    </row>
    <row r="25" spans="1:4" ht="16.5" thickBot="1" x14ac:dyDescent="0.3">
      <c r="A25" s="5" t="s">
        <v>17</v>
      </c>
      <c r="B25" s="6" t="s">
        <v>32</v>
      </c>
      <c r="C25" s="13">
        <f>(C16/12)+(C16/3)/12</f>
        <v>285.11333333333334</v>
      </c>
    </row>
    <row r="26" spans="1:4" ht="16.5" thickBot="1" x14ac:dyDescent="0.3">
      <c r="A26" s="194" t="s">
        <v>1</v>
      </c>
      <c r="B26" s="195"/>
      <c r="C26" s="14">
        <f>SUM(C24:C25)</f>
        <v>498.94833333333338</v>
      </c>
    </row>
    <row r="29" spans="1:4" ht="32.25" customHeight="1" x14ac:dyDescent="0.25">
      <c r="A29" s="198" t="s">
        <v>33</v>
      </c>
      <c r="B29" s="198"/>
      <c r="C29" s="198"/>
      <c r="D29" s="198"/>
    </row>
    <row r="30" spans="1:4" ht="16.5" thickBot="1" x14ac:dyDescent="0.3"/>
    <row r="31" spans="1:4" ht="16.5" thickBot="1" x14ac:dyDescent="0.3">
      <c r="A31" s="3" t="s">
        <v>34</v>
      </c>
      <c r="B31" s="32" t="s">
        <v>35</v>
      </c>
      <c r="C31" s="32" t="s">
        <v>36</v>
      </c>
      <c r="D31" s="32" t="s">
        <v>14</v>
      </c>
    </row>
    <row r="32" spans="1:4" ht="16.5" thickBot="1" x14ac:dyDescent="0.3">
      <c r="A32" s="5" t="s">
        <v>15</v>
      </c>
      <c r="B32" s="6" t="s">
        <v>37</v>
      </c>
      <c r="C32" s="8">
        <v>0.2</v>
      </c>
      <c r="D32" s="13">
        <f>($C$16+$C$26)*C32</f>
        <v>612.99366666666663</v>
      </c>
    </row>
    <row r="33" spans="1:4" ht="16.5" thickBot="1" x14ac:dyDescent="0.3">
      <c r="A33" s="5" t="s">
        <v>17</v>
      </c>
      <c r="B33" s="6" t="s">
        <v>38</v>
      </c>
      <c r="C33" s="8">
        <v>2.5000000000000001E-2</v>
      </c>
      <c r="D33" s="13">
        <f>($C$16+$C$26)*C33</f>
        <v>76.624208333333328</v>
      </c>
    </row>
    <row r="34" spans="1:4" ht="16.5" thickBot="1" x14ac:dyDescent="0.3">
      <c r="A34" s="5" t="s">
        <v>19</v>
      </c>
      <c r="B34" s="6" t="s">
        <v>39</v>
      </c>
      <c r="C34" s="15">
        <v>0.03</v>
      </c>
      <c r="D34" s="13">
        <f t="shared" ref="D34:D39" si="0">($C$16+$C$26)*C34</f>
        <v>91.94905</v>
      </c>
    </row>
    <row r="35" spans="1:4" ht="16.5" thickBot="1" x14ac:dyDescent="0.3">
      <c r="A35" s="5" t="s">
        <v>21</v>
      </c>
      <c r="B35" s="6" t="s">
        <v>40</v>
      </c>
      <c r="C35" s="8">
        <v>1.4999999999999999E-2</v>
      </c>
      <c r="D35" s="13">
        <f t="shared" si="0"/>
        <v>45.974525</v>
      </c>
    </row>
    <row r="36" spans="1:4" ht="16.5" thickBot="1" x14ac:dyDescent="0.3">
      <c r="A36" s="5" t="s">
        <v>22</v>
      </c>
      <c r="B36" s="6" t="s">
        <v>41</v>
      </c>
      <c r="C36" s="8">
        <v>0.01</v>
      </c>
      <c r="D36" s="13">
        <f t="shared" si="0"/>
        <v>30.649683333333332</v>
      </c>
    </row>
    <row r="37" spans="1:4" ht="16.5" thickBot="1" x14ac:dyDescent="0.3">
      <c r="A37" s="5" t="s">
        <v>24</v>
      </c>
      <c r="B37" s="6" t="s">
        <v>3</v>
      </c>
      <c r="C37" s="8">
        <v>6.0000000000000001E-3</v>
      </c>
      <c r="D37" s="13">
        <f t="shared" si="0"/>
        <v>18.389810000000001</v>
      </c>
    </row>
    <row r="38" spans="1:4" ht="16.5" thickBot="1" x14ac:dyDescent="0.3">
      <c r="A38" s="5" t="s">
        <v>25</v>
      </c>
      <c r="B38" s="6" t="s">
        <v>4</v>
      </c>
      <c r="C38" s="8">
        <v>2E-3</v>
      </c>
      <c r="D38" s="13">
        <f t="shared" si="0"/>
        <v>6.1299366666666666</v>
      </c>
    </row>
    <row r="39" spans="1:4" ht="16.5" thickBot="1" x14ac:dyDescent="0.3">
      <c r="A39" s="5" t="s">
        <v>42</v>
      </c>
      <c r="B39" s="6" t="s">
        <v>5</v>
      </c>
      <c r="C39" s="8">
        <v>0.08</v>
      </c>
      <c r="D39" s="13">
        <f t="shared" si="0"/>
        <v>245.19746666666666</v>
      </c>
    </row>
    <row r="40" spans="1:4" ht="16.5" thickBot="1" x14ac:dyDescent="0.3">
      <c r="A40" s="194" t="s">
        <v>43</v>
      </c>
      <c r="B40" s="195"/>
      <c r="C40" s="8">
        <f>SUM(C32:C39)</f>
        <v>0.36800000000000005</v>
      </c>
      <c r="D40" s="14">
        <f>SUM(D32:D39)</f>
        <v>1127.9083466666666</v>
      </c>
    </row>
    <row r="43" spans="1:4" x14ac:dyDescent="0.25">
      <c r="A43" s="196" t="s">
        <v>44</v>
      </c>
      <c r="B43" s="196"/>
      <c r="C43" s="196"/>
    </row>
    <row r="44" spans="1:4" ht="16.5" thickBot="1" x14ac:dyDescent="0.3"/>
    <row r="45" spans="1:4" ht="16.5" thickBot="1" x14ac:dyDescent="0.3">
      <c r="A45" s="3" t="s">
        <v>45</v>
      </c>
      <c r="B45" s="32" t="s">
        <v>46</v>
      </c>
      <c r="C45" s="32" t="s">
        <v>14</v>
      </c>
    </row>
    <row r="46" spans="1:4" ht="16.5" thickBot="1" x14ac:dyDescent="0.3">
      <c r="A46" s="5" t="s">
        <v>15</v>
      </c>
      <c r="B46" s="6" t="s">
        <v>47</v>
      </c>
      <c r="C46" s="13">
        <f>((BENEFICIOS!B3*2)*22)-($C$9*0.06)</f>
        <v>110.03880000000001</v>
      </c>
    </row>
    <row r="47" spans="1:4" ht="16.5" thickBot="1" x14ac:dyDescent="0.3">
      <c r="A47" s="5" t="s">
        <v>17</v>
      </c>
      <c r="B47" s="6" t="s">
        <v>48</v>
      </c>
      <c r="C47" s="13">
        <f>(BENEFICIOS!B4*22)-((BENEFICIOS!B4*22)*0.1)</f>
        <v>485.1</v>
      </c>
    </row>
    <row r="48" spans="1:4" ht="16.5" thickBot="1" x14ac:dyDescent="0.3">
      <c r="A48" s="5" t="s">
        <v>19</v>
      </c>
      <c r="B48" s="6" t="s">
        <v>85</v>
      </c>
      <c r="C48" s="13">
        <f>BENEFICIOS!B5</f>
        <v>180</v>
      </c>
    </row>
    <row r="49" spans="1:3" ht="16.5" thickBot="1" x14ac:dyDescent="0.3">
      <c r="A49" s="5" t="s">
        <v>21</v>
      </c>
      <c r="B49" s="6" t="s">
        <v>86</v>
      </c>
      <c r="C49" s="13">
        <f>BENEFICIOS!B6</f>
        <v>20</v>
      </c>
    </row>
    <row r="50" spans="1:3" ht="16.5" thickBot="1" x14ac:dyDescent="0.3">
      <c r="A50" s="27" t="s">
        <v>22</v>
      </c>
      <c r="B50" s="23" t="str">
        <f>BENEFICIOS!A7</f>
        <v>Plano odontologico</v>
      </c>
      <c r="C50" s="26">
        <f>BENEFICIOS!B7</f>
        <v>16</v>
      </c>
    </row>
    <row r="51" spans="1:3" ht="16.5" thickBot="1" x14ac:dyDescent="0.3">
      <c r="A51" s="27" t="s">
        <v>24</v>
      </c>
      <c r="B51" s="93" t="str">
        <f>BENEFICIOS!A8</f>
        <v>Programa de Qualificação Profissional</v>
      </c>
      <c r="C51" s="13">
        <f>BENEFICIOS!B8</f>
        <v>10</v>
      </c>
    </row>
    <row r="52" spans="1:3" ht="16.5" thickBot="1" x14ac:dyDescent="0.3">
      <c r="A52" s="194" t="s">
        <v>1</v>
      </c>
      <c r="B52" s="195"/>
      <c r="C52" s="13">
        <f>SUM(C46:C51)</f>
        <v>821.13880000000006</v>
      </c>
    </row>
    <row r="55" spans="1:3" x14ac:dyDescent="0.25">
      <c r="A55" s="196" t="s">
        <v>49</v>
      </c>
      <c r="B55" s="196"/>
      <c r="C55" s="196"/>
    </row>
    <row r="56" spans="1:3" ht="16.5" thickBot="1" x14ac:dyDescent="0.3"/>
    <row r="57" spans="1:3" ht="16.5" thickBot="1" x14ac:dyDescent="0.3">
      <c r="A57" s="3">
        <v>2</v>
      </c>
      <c r="B57" s="32" t="s">
        <v>50</v>
      </c>
      <c r="C57" s="32" t="s">
        <v>14</v>
      </c>
    </row>
    <row r="58" spans="1:3" ht="16.5" thickBot="1" x14ac:dyDescent="0.3">
      <c r="A58" s="5" t="s">
        <v>29</v>
      </c>
      <c r="B58" s="6" t="s">
        <v>30</v>
      </c>
      <c r="C58" s="14">
        <f>C26</f>
        <v>498.94833333333338</v>
      </c>
    </row>
    <row r="59" spans="1:3" ht="16.5" thickBot="1" x14ac:dyDescent="0.3">
      <c r="A59" s="5" t="s">
        <v>34</v>
      </c>
      <c r="B59" s="6" t="s">
        <v>35</v>
      </c>
      <c r="C59" s="14">
        <f>D40</f>
        <v>1127.9083466666666</v>
      </c>
    </row>
    <row r="60" spans="1:3" ht="16.5" thickBot="1" x14ac:dyDescent="0.3">
      <c r="A60" s="5" t="s">
        <v>45</v>
      </c>
      <c r="B60" s="6" t="s">
        <v>46</v>
      </c>
      <c r="C60" s="14">
        <f>C52</f>
        <v>821.13880000000006</v>
      </c>
    </row>
    <row r="61" spans="1:3" ht="16.5" thickBot="1" x14ac:dyDescent="0.3">
      <c r="A61" s="194" t="s">
        <v>1</v>
      </c>
      <c r="B61" s="195"/>
      <c r="C61" s="14">
        <f>SUM(C58:C60)</f>
        <v>2447.99548</v>
      </c>
    </row>
    <row r="62" spans="1:3" x14ac:dyDescent="0.25">
      <c r="A62" s="1"/>
    </row>
    <row r="64" spans="1:3" x14ac:dyDescent="0.25">
      <c r="A64" s="197" t="s">
        <v>51</v>
      </c>
      <c r="B64" s="197"/>
      <c r="C64" s="197"/>
    </row>
    <row r="65" spans="1:7" ht="16.5" thickBot="1" x14ac:dyDescent="0.3"/>
    <row r="66" spans="1:7" ht="16.5" thickBot="1" x14ac:dyDescent="0.3">
      <c r="A66" s="3">
        <v>3</v>
      </c>
      <c r="B66" s="32" t="s">
        <v>52</v>
      </c>
      <c r="C66" s="32" t="s">
        <v>131</v>
      </c>
      <c r="D66" s="63" t="s">
        <v>132</v>
      </c>
    </row>
    <row r="67" spans="1:7" ht="16.5" thickBot="1" x14ac:dyDescent="0.3">
      <c r="A67" s="5" t="s">
        <v>15</v>
      </c>
      <c r="B67" s="9" t="s">
        <v>53</v>
      </c>
      <c r="C67" s="68">
        <v>0.1</v>
      </c>
      <c r="D67" s="13">
        <f>C67*($C$16+$C$26+C52)</f>
        <v>388.61071333333336</v>
      </c>
      <c r="E67" s="17"/>
      <c r="F67" s="16"/>
    </row>
    <row r="68" spans="1:7" ht="16.5" thickBot="1" x14ac:dyDescent="0.3">
      <c r="A68" s="5" t="s">
        <v>17</v>
      </c>
      <c r="B68" s="9" t="s">
        <v>54</v>
      </c>
      <c r="C68" s="68">
        <v>6.7000000000000002E-3</v>
      </c>
      <c r="D68" s="13">
        <f t="shared" ref="D68" si="1">C68*($C$16+$C$26)</f>
        <v>20.535287833333335</v>
      </c>
      <c r="E68" s="17"/>
      <c r="F68" s="16"/>
    </row>
    <row r="69" spans="1:7" ht="16.5" thickBot="1" x14ac:dyDescent="0.3">
      <c r="A69" s="5" t="s">
        <v>19</v>
      </c>
      <c r="B69" s="9" t="s">
        <v>55</v>
      </c>
      <c r="C69" s="68">
        <v>2.6800000000000001E-3</v>
      </c>
      <c r="D69" s="13">
        <f>C69*($C$16+$C$26)</f>
        <v>8.2141151333333333</v>
      </c>
      <c r="E69" s="17"/>
      <c r="F69" s="16"/>
    </row>
    <row r="70" spans="1:7" ht="16.5" thickBot="1" x14ac:dyDescent="0.3">
      <c r="A70" s="5" t="s">
        <v>21</v>
      </c>
      <c r="B70" s="9" t="s">
        <v>56</v>
      </c>
      <c r="C70" s="68">
        <f>D70/(D40+C26+C16)</f>
        <v>1.9444444444444445E-2</v>
      </c>
      <c r="D70" s="13">
        <f>(((C16+C26+D40)/30)*7)/12</f>
        <v>81.528157666666658</v>
      </c>
      <c r="E70" s="17"/>
      <c r="F70" s="16"/>
    </row>
    <row r="71" spans="1:7" ht="16.5" thickBot="1" x14ac:dyDescent="0.3">
      <c r="A71" s="5" t="s">
        <v>22</v>
      </c>
      <c r="B71" s="9" t="s">
        <v>133</v>
      </c>
      <c r="C71" s="68">
        <f>D71/(C16+C26+D40)</f>
        <v>1.5555555555555557E-3</v>
      </c>
      <c r="D71" s="13">
        <f>D70*0.08</f>
        <v>6.5222526133333325</v>
      </c>
      <c r="E71" s="17"/>
      <c r="F71" s="82"/>
      <c r="G71" s="83"/>
    </row>
    <row r="72" spans="1:7" ht="16.5" thickBot="1" x14ac:dyDescent="0.3">
      <c r="A72" s="5" t="s">
        <v>24</v>
      </c>
      <c r="B72" s="9" t="s">
        <v>57</v>
      </c>
      <c r="C72" s="68">
        <v>5.9999999999999995E-4</v>
      </c>
      <c r="D72" s="13">
        <f>D71*0.4</f>
        <v>2.608901045333333</v>
      </c>
      <c r="E72" s="17"/>
      <c r="F72" s="82"/>
    </row>
    <row r="73" spans="1:7" ht="16.5" thickBot="1" x14ac:dyDescent="0.3">
      <c r="A73" s="5" t="s">
        <v>25</v>
      </c>
      <c r="B73" s="9" t="s">
        <v>109</v>
      </c>
      <c r="C73" s="68">
        <f>D73/(D40+C26+C16)</f>
        <v>2.3391812865497078E-2</v>
      </c>
      <c r="D73" s="13">
        <f>D39*0.4</f>
        <v>98.078986666666665</v>
      </c>
      <c r="E73" s="17"/>
      <c r="F73" s="82"/>
    </row>
    <row r="74" spans="1:7" ht="16.5" thickBot="1" x14ac:dyDescent="0.3">
      <c r="A74" s="199" t="s">
        <v>1</v>
      </c>
      <c r="B74" s="200"/>
      <c r="C74" s="14"/>
      <c r="D74" s="14">
        <f>SUM(D67:D73)</f>
        <v>606.09841429200003</v>
      </c>
      <c r="F74" s="16"/>
    </row>
    <row r="76" spans="1:7" x14ac:dyDescent="0.25">
      <c r="F76" s="70"/>
    </row>
    <row r="77" spans="1:7" x14ac:dyDescent="0.25">
      <c r="A77" s="197" t="s">
        <v>58</v>
      </c>
      <c r="B77" s="197"/>
      <c r="C77" s="197"/>
    </row>
    <row r="80" spans="1:7" x14ac:dyDescent="0.25">
      <c r="A80" s="196" t="s">
        <v>59</v>
      </c>
      <c r="B80" s="196"/>
      <c r="C80" s="196"/>
    </row>
    <row r="81" spans="1:6" ht="16.5" thickBot="1" x14ac:dyDescent="0.3">
      <c r="A81" s="2"/>
    </row>
    <row r="82" spans="1:6" ht="16.5" thickBot="1" x14ac:dyDescent="0.3">
      <c r="A82" s="3" t="s">
        <v>60</v>
      </c>
      <c r="B82" s="32" t="s">
        <v>61</v>
      </c>
      <c r="C82" s="32" t="s">
        <v>14</v>
      </c>
    </row>
    <row r="83" spans="1:6" ht="16.5" thickBot="1" x14ac:dyDescent="0.3">
      <c r="A83" s="5" t="s">
        <v>15</v>
      </c>
      <c r="B83" s="6" t="s">
        <v>2</v>
      </c>
      <c r="C83" s="13">
        <f>(C26*1.368)/12</f>
        <v>56.880110000000009</v>
      </c>
      <c r="D83" s="17"/>
      <c r="E83" s="16"/>
      <c r="F83" s="16"/>
    </row>
    <row r="84" spans="1:6" ht="16.5" thickBot="1" x14ac:dyDescent="0.3">
      <c r="A84" s="5" t="s">
        <v>17</v>
      </c>
      <c r="B84" s="6" t="s">
        <v>61</v>
      </c>
      <c r="C84" s="13">
        <f>(((($C$16+$C$61+$D$74)/30)*4.8739)/12)</f>
        <v>76.0885364149716</v>
      </c>
    </row>
    <row r="85" spans="1:6" ht="16.5" thickBot="1" x14ac:dyDescent="0.3">
      <c r="A85" s="5" t="s">
        <v>19</v>
      </c>
      <c r="B85" s="6" t="s">
        <v>62</v>
      </c>
      <c r="C85" s="13">
        <f>(((($C$16+$C$61+$D$74)/30)*0.1997)/12)</f>
        <v>3.1176020685836452</v>
      </c>
    </row>
    <row r="86" spans="1:6" ht="16.5" thickBot="1" x14ac:dyDescent="0.3">
      <c r="A86" s="5" t="s">
        <v>21</v>
      </c>
      <c r="B86" s="6" t="s">
        <v>63</v>
      </c>
      <c r="C86" s="13">
        <f>(((($C$16+$C$61+$D$74)/30)*0.9659)/12)</f>
        <v>15.079077806935118</v>
      </c>
    </row>
    <row r="87" spans="1:6" ht="16.5" thickBot="1" x14ac:dyDescent="0.3">
      <c r="A87" s="5" t="s">
        <v>22</v>
      </c>
      <c r="B87" s="6" t="s">
        <v>64</v>
      </c>
      <c r="C87" s="13">
        <f>(((($C$16+$C$61+$D$74)/30)*2.4753)/12)</f>
        <v>38.642966451502737</v>
      </c>
    </row>
    <row r="88" spans="1:6" ht="16.5" thickBot="1" x14ac:dyDescent="0.3">
      <c r="A88" s="5" t="s">
        <v>24</v>
      </c>
      <c r="B88" s="6" t="s">
        <v>26</v>
      </c>
      <c r="C88" s="7"/>
    </row>
    <row r="89" spans="1:6" ht="16.5" thickBot="1" x14ac:dyDescent="0.3">
      <c r="A89" s="194" t="s">
        <v>43</v>
      </c>
      <c r="B89" s="195"/>
      <c r="C89" s="14">
        <f>SUM(C83:C88)</f>
        <v>189.80829274199309</v>
      </c>
    </row>
    <row r="92" spans="1:6" x14ac:dyDescent="0.25">
      <c r="A92" s="196" t="s">
        <v>65</v>
      </c>
      <c r="B92" s="196"/>
      <c r="C92" s="196"/>
    </row>
    <row r="93" spans="1:6" ht="16.5" thickBot="1" x14ac:dyDescent="0.3">
      <c r="A93" s="2"/>
    </row>
    <row r="94" spans="1:6" ht="16.5" thickBot="1" x14ac:dyDescent="0.3">
      <c r="A94" s="3" t="s">
        <v>66</v>
      </c>
      <c r="B94" s="32" t="s">
        <v>67</v>
      </c>
      <c r="C94" s="32" t="s">
        <v>14</v>
      </c>
    </row>
    <row r="95" spans="1:6" ht="16.5" thickBot="1" x14ac:dyDescent="0.3">
      <c r="A95" s="5" t="s">
        <v>15</v>
      </c>
      <c r="B95" s="6" t="s">
        <v>84</v>
      </c>
      <c r="C95" s="7">
        <v>0</v>
      </c>
    </row>
    <row r="96" spans="1:6" ht="16.5" thickBot="1" x14ac:dyDescent="0.3">
      <c r="A96" s="194" t="s">
        <v>1</v>
      </c>
      <c r="B96" s="195"/>
      <c r="C96" s="7">
        <v>0</v>
      </c>
    </row>
    <row r="99" spans="1:3" x14ac:dyDescent="0.25">
      <c r="A99" s="196" t="s">
        <v>68</v>
      </c>
      <c r="B99" s="196"/>
      <c r="C99" s="196"/>
    </row>
    <row r="100" spans="1:3" ht="16.5" thickBot="1" x14ac:dyDescent="0.3">
      <c r="A100" s="2"/>
    </row>
    <row r="101" spans="1:3" ht="16.5" thickBot="1" x14ac:dyDescent="0.3">
      <c r="A101" s="3">
        <v>4</v>
      </c>
      <c r="B101" s="32" t="s">
        <v>69</v>
      </c>
      <c r="C101" s="32" t="s">
        <v>14</v>
      </c>
    </row>
    <row r="102" spans="1:3" ht="16.5" thickBot="1" x14ac:dyDescent="0.3">
      <c r="A102" s="5" t="s">
        <v>60</v>
      </c>
      <c r="B102" s="6" t="s">
        <v>61</v>
      </c>
      <c r="C102" s="13">
        <f>C89</f>
        <v>189.80829274199309</v>
      </c>
    </row>
    <row r="103" spans="1:3" ht="16.5" thickBot="1" x14ac:dyDescent="0.3">
      <c r="A103" s="5" t="s">
        <v>66</v>
      </c>
      <c r="B103" s="6" t="s">
        <v>67</v>
      </c>
      <c r="C103" s="13">
        <f>C96</f>
        <v>0</v>
      </c>
    </row>
    <row r="104" spans="1:3" ht="16.5" thickBot="1" x14ac:dyDescent="0.3">
      <c r="A104" s="194" t="s">
        <v>1</v>
      </c>
      <c r="B104" s="195"/>
      <c r="C104" s="14">
        <f>SUM(C102:C103)</f>
        <v>189.80829274199309</v>
      </c>
    </row>
    <row r="107" spans="1:3" x14ac:dyDescent="0.25">
      <c r="A107" s="197" t="s">
        <v>70</v>
      </c>
      <c r="B107" s="197"/>
      <c r="C107" s="197"/>
    </row>
    <row r="108" spans="1:3" ht="16.5" thickBot="1" x14ac:dyDescent="0.3"/>
    <row r="109" spans="1:3" ht="16.5" thickBot="1" x14ac:dyDescent="0.3">
      <c r="A109" s="3">
        <v>5</v>
      </c>
      <c r="B109" s="10" t="s">
        <v>7</v>
      </c>
      <c r="C109" s="32" t="s">
        <v>14</v>
      </c>
    </row>
    <row r="110" spans="1:3" ht="16.5" thickBot="1" x14ac:dyDescent="0.3">
      <c r="A110" s="5" t="s">
        <v>15</v>
      </c>
      <c r="B110" s="6" t="s">
        <v>71</v>
      </c>
      <c r="C110" s="13">
        <f>'Uniformes e utensilhos'!G25</f>
        <v>43.243750000000006</v>
      </c>
    </row>
    <row r="111" spans="1:3" ht="16.5" thickBot="1" x14ac:dyDescent="0.3">
      <c r="A111" s="5" t="s">
        <v>17</v>
      </c>
      <c r="B111" s="6" t="s">
        <v>129</v>
      </c>
      <c r="C111" s="13"/>
    </row>
    <row r="112" spans="1:3" ht="16.5" thickBot="1" x14ac:dyDescent="0.3">
      <c r="A112" s="5" t="s">
        <v>19</v>
      </c>
      <c r="B112" s="6" t="s">
        <v>73</v>
      </c>
      <c r="C112" s="14"/>
    </row>
    <row r="113" spans="1:7" ht="16.5" thickBot="1" x14ac:dyDescent="0.3">
      <c r="A113" s="5" t="s">
        <v>21</v>
      </c>
      <c r="B113" s="6" t="s">
        <v>26</v>
      </c>
      <c r="C113" s="7"/>
    </row>
    <row r="114" spans="1:7" ht="16.5" thickBot="1" x14ac:dyDescent="0.3">
      <c r="A114" s="194" t="s">
        <v>43</v>
      </c>
      <c r="B114" s="195"/>
      <c r="C114" s="13">
        <f>SUM(C110:C113)</f>
        <v>43.243750000000006</v>
      </c>
    </row>
    <row r="117" spans="1:7" x14ac:dyDescent="0.25">
      <c r="A117" s="197" t="s">
        <v>74</v>
      </c>
      <c r="B117" s="197"/>
      <c r="C117" s="197"/>
    </row>
    <row r="118" spans="1:7" ht="16.5" thickBot="1" x14ac:dyDescent="0.3"/>
    <row r="119" spans="1:7" ht="16.5" thickBot="1" x14ac:dyDescent="0.3">
      <c r="A119" s="3">
        <v>6</v>
      </c>
      <c r="B119" s="10" t="s">
        <v>8</v>
      </c>
      <c r="C119" s="32" t="s">
        <v>36</v>
      </c>
      <c r="D119" s="32" t="s">
        <v>14</v>
      </c>
    </row>
    <row r="120" spans="1:7" ht="16.5" thickBot="1" x14ac:dyDescent="0.3">
      <c r="A120" s="5" t="s">
        <v>15</v>
      </c>
      <c r="B120" s="6" t="s">
        <v>9</v>
      </c>
      <c r="C120" s="68">
        <v>0.05</v>
      </c>
      <c r="D120" s="13">
        <f>($C$16+$C$61+$D$74+$C$104+$C$114)*C120</f>
        <v>292.65829685169962</v>
      </c>
      <c r="F120" s="16"/>
    </row>
    <row r="121" spans="1:7" ht="16.5" thickBot="1" x14ac:dyDescent="0.3">
      <c r="A121" s="5" t="s">
        <v>17</v>
      </c>
      <c r="B121" s="6" t="s">
        <v>11</v>
      </c>
      <c r="C121" s="20">
        <v>5</v>
      </c>
      <c r="D121" s="14">
        <f>(C132+C133+C134+C135+C136+D120)*(C121/100)</f>
        <v>307.29121169428458</v>
      </c>
      <c r="F121" s="17"/>
      <c r="G121" s="79"/>
    </row>
    <row r="122" spans="1:7" ht="16.5" thickBot="1" x14ac:dyDescent="0.3">
      <c r="A122" s="5" t="s">
        <v>19</v>
      </c>
      <c r="B122" s="6" t="s">
        <v>10</v>
      </c>
      <c r="C122" s="7"/>
      <c r="D122" s="7"/>
      <c r="G122" s="80"/>
    </row>
    <row r="123" spans="1:7" ht="16.5" thickBot="1" x14ac:dyDescent="0.3">
      <c r="A123" s="5"/>
      <c r="B123" s="6" t="s">
        <v>88</v>
      </c>
      <c r="C123" s="13">
        <v>3.65</v>
      </c>
      <c r="D123" s="14">
        <f>((C137+D120+D121)/0.9135)*(C123/100)</f>
        <v>257.84205119175601</v>
      </c>
    </row>
    <row r="124" spans="1:7" ht="16.5" thickBot="1" x14ac:dyDescent="0.3">
      <c r="A124" s="5"/>
      <c r="B124" s="6" t="s">
        <v>75</v>
      </c>
      <c r="C124" s="13"/>
      <c r="D124" s="7"/>
    </row>
    <row r="125" spans="1:7" ht="16.5" thickBot="1" x14ac:dyDescent="0.3">
      <c r="A125" s="5"/>
      <c r="B125" s="6" t="s">
        <v>89</v>
      </c>
      <c r="C125" s="13">
        <v>5</v>
      </c>
      <c r="D125" s="14">
        <f>((C137+D120+D121)/0.9135)*(C125/100)</f>
        <v>353.20828930377542</v>
      </c>
    </row>
    <row r="126" spans="1:7" ht="16.5" thickBot="1" x14ac:dyDescent="0.3">
      <c r="A126" s="194" t="s">
        <v>43</v>
      </c>
      <c r="B126" s="195"/>
      <c r="C126" s="7"/>
      <c r="D126" s="14">
        <f>SUM(D120:D125)</f>
        <v>1210.9998490415155</v>
      </c>
    </row>
    <row r="129" spans="1:8" x14ac:dyDescent="0.25">
      <c r="A129" s="197" t="s">
        <v>76</v>
      </c>
      <c r="B129" s="197"/>
      <c r="C129" s="197"/>
    </row>
    <row r="130" spans="1:8" ht="16.5" thickBot="1" x14ac:dyDescent="0.3">
      <c r="G130" s="69"/>
      <c r="H130" s="70"/>
    </row>
    <row r="131" spans="1:8" ht="16.5" thickBot="1" x14ac:dyDescent="0.3">
      <c r="A131" s="3"/>
      <c r="B131" s="32" t="s">
        <v>77</v>
      </c>
      <c r="C131" s="32" t="s">
        <v>14</v>
      </c>
    </row>
    <row r="132" spans="1:8" ht="16.5" thickBot="1" x14ac:dyDescent="0.3">
      <c r="A132" s="12" t="s">
        <v>15</v>
      </c>
      <c r="B132" s="6" t="s">
        <v>12</v>
      </c>
      <c r="C132" s="19">
        <f>C16</f>
        <v>2566.02</v>
      </c>
    </row>
    <row r="133" spans="1:8" ht="16.5" thickBot="1" x14ac:dyDescent="0.3">
      <c r="A133" s="12" t="s">
        <v>17</v>
      </c>
      <c r="B133" s="6" t="s">
        <v>27</v>
      </c>
      <c r="C133" s="19">
        <f>C61</f>
        <v>2447.99548</v>
      </c>
    </row>
    <row r="134" spans="1:8" ht="16.5" thickBot="1" x14ac:dyDescent="0.3">
      <c r="A134" s="12" t="s">
        <v>19</v>
      </c>
      <c r="B134" s="6" t="s">
        <v>51</v>
      </c>
      <c r="C134" s="19">
        <f>D74</f>
        <v>606.09841429200003</v>
      </c>
    </row>
    <row r="135" spans="1:8" ht="16.5" thickBot="1" x14ac:dyDescent="0.3">
      <c r="A135" s="12" t="s">
        <v>21</v>
      </c>
      <c r="B135" s="6" t="s">
        <v>58</v>
      </c>
      <c r="C135" s="19">
        <f>C104</f>
        <v>189.80829274199309</v>
      </c>
    </row>
    <row r="136" spans="1:8" ht="16.5" thickBot="1" x14ac:dyDescent="0.3">
      <c r="A136" s="12" t="s">
        <v>22</v>
      </c>
      <c r="B136" s="6" t="s">
        <v>70</v>
      </c>
      <c r="C136" s="19">
        <f>C114</f>
        <v>43.243750000000006</v>
      </c>
    </row>
    <row r="137" spans="1:8" ht="16.5" thickBot="1" x14ac:dyDescent="0.3">
      <c r="A137" s="194" t="s">
        <v>78</v>
      </c>
      <c r="B137" s="195"/>
      <c r="C137" s="19">
        <f>SUM(C132:C136)</f>
        <v>5853.1659370339921</v>
      </c>
    </row>
    <row r="138" spans="1:8" ht="16.5" thickBot="1" x14ac:dyDescent="0.3">
      <c r="A138" s="12" t="s">
        <v>24</v>
      </c>
      <c r="B138" s="6" t="s">
        <v>79</v>
      </c>
      <c r="C138" s="19">
        <f>D126</f>
        <v>1210.9998490415155</v>
      </c>
    </row>
    <row r="139" spans="1:8" ht="16.5" thickBot="1" x14ac:dyDescent="0.3">
      <c r="A139" s="194" t="s">
        <v>80</v>
      </c>
      <c r="B139" s="195"/>
      <c r="C139" s="19">
        <f>C137+C138</f>
        <v>7064.1657860755076</v>
      </c>
      <c r="D139" s="16"/>
      <c r="G139" s="31"/>
    </row>
    <row r="140" spans="1:8" x14ac:dyDescent="0.25">
      <c r="C140" s="16"/>
      <c r="G140" s="31"/>
    </row>
    <row r="141" spans="1:8" x14ac:dyDescent="0.25">
      <c r="G141" s="31"/>
    </row>
    <row r="143" spans="1:8" x14ac:dyDescent="0.25">
      <c r="C143" s="16"/>
    </row>
  </sheetData>
  <mergeCells count="30">
    <mergeCell ref="A19:C19"/>
    <mergeCell ref="A1:D1"/>
    <mergeCell ref="A2:D2"/>
    <mergeCell ref="A3:D3"/>
    <mergeCell ref="A6:C6"/>
    <mergeCell ref="A16:B16"/>
    <mergeCell ref="A80:C80"/>
    <mergeCell ref="A21:C21"/>
    <mergeCell ref="A26:B26"/>
    <mergeCell ref="A29:D29"/>
    <mergeCell ref="A40:B40"/>
    <mergeCell ref="A43:C43"/>
    <mergeCell ref="A52:B52"/>
    <mergeCell ref="A55:C55"/>
    <mergeCell ref="A61:B61"/>
    <mergeCell ref="A64:C64"/>
    <mergeCell ref="A74:B74"/>
    <mergeCell ref="A77:C77"/>
    <mergeCell ref="A139:B139"/>
    <mergeCell ref="A89:B89"/>
    <mergeCell ref="A92:C92"/>
    <mergeCell ref="A96:B96"/>
    <mergeCell ref="A99:C99"/>
    <mergeCell ref="A104:B104"/>
    <mergeCell ref="A107:C107"/>
    <mergeCell ref="A114:B114"/>
    <mergeCell ref="A117:C117"/>
    <mergeCell ref="A126:B126"/>
    <mergeCell ref="A129:C129"/>
    <mergeCell ref="A137:B137"/>
  </mergeCells>
  <pageMargins left="0.511811024" right="0.511811024" top="0.78740157499999996" bottom="0.78740157499999996" header="0.31496062000000002" footer="0.31496062000000002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showGridLines="0" topLeftCell="A37" zoomScale="70" zoomScaleNormal="70" workbookViewId="0">
      <selection activeCell="C72" sqref="C72:D72"/>
    </sheetView>
  </sheetViews>
  <sheetFormatPr defaultRowHeight="15.75" x14ac:dyDescent="0.25"/>
  <cols>
    <col min="1" max="1" width="9.140625" style="11"/>
    <col min="2" max="2" width="72.140625" style="11" customWidth="1"/>
    <col min="3" max="3" width="18" style="11" customWidth="1"/>
    <col min="4" max="4" width="14.28515625" style="11" customWidth="1"/>
    <col min="5" max="5" width="12.7109375" style="11" customWidth="1"/>
    <col min="6" max="6" width="12" style="11" customWidth="1"/>
    <col min="7" max="7" width="15.140625" style="11" customWidth="1"/>
    <col min="8" max="16384" width="9.140625" style="11"/>
  </cols>
  <sheetData>
    <row r="1" spans="1:4" ht="23.25" x14ac:dyDescent="0.35">
      <c r="A1" s="201" t="s">
        <v>81</v>
      </c>
      <c r="B1" s="201"/>
      <c r="C1" s="201"/>
      <c r="D1" s="201"/>
    </row>
    <row r="2" spans="1:4" ht="23.25" x14ac:dyDescent="0.35">
      <c r="A2" s="201" t="s">
        <v>82</v>
      </c>
      <c r="B2" s="201"/>
      <c r="C2" s="201"/>
      <c r="D2" s="201"/>
    </row>
    <row r="3" spans="1:4" x14ac:dyDescent="0.25">
      <c r="A3" s="202" t="s">
        <v>83</v>
      </c>
      <c r="B3" s="202"/>
      <c r="C3" s="202"/>
      <c r="D3" s="202"/>
    </row>
    <row r="6" spans="1:4" x14ac:dyDescent="0.25">
      <c r="A6" s="203" t="s">
        <v>12</v>
      </c>
      <c r="B6" s="203"/>
      <c r="C6" s="203"/>
    </row>
    <row r="7" spans="1:4" ht="16.5" thickBot="1" x14ac:dyDescent="0.3"/>
    <row r="8" spans="1:4" ht="16.5" thickBot="1" x14ac:dyDescent="0.3">
      <c r="A8" s="3">
        <v>1</v>
      </c>
      <c r="B8" s="91" t="s">
        <v>13</v>
      </c>
      <c r="C8" s="91" t="s">
        <v>14</v>
      </c>
    </row>
    <row r="9" spans="1:4" ht="16.5" thickBot="1" x14ac:dyDescent="0.3">
      <c r="A9" s="5" t="s">
        <v>15</v>
      </c>
      <c r="B9" s="6" t="s">
        <v>16</v>
      </c>
      <c r="C9" s="13">
        <v>1655.25</v>
      </c>
    </row>
    <row r="10" spans="1:4" ht="16.5" thickBot="1" x14ac:dyDescent="0.3">
      <c r="A10" s="5" t="s">
        <v>17</v>
      </c>
      <c r="B10" s="6" t="s">
        <v>18</v>
      </c>
      <c r="C10" s="13"/>
    </row>
    <row r="11" spans="1:4" ht="16.5" thickBot="1" x14ac:dyDescent="0.3">
      <c r="A11" s="5" t="s">
        <v>19</v>
      </c>
      <c r="B11" s="6" t="s">
        <v>20</v>
      </c>
      <c r="C11" s="13">
        <f>1621*0.4</f>
        <v>648.40000000000009</v>
      </c>
    </row>
    <row r="12" spans="1:4" ht="16.5" thickBot="1" x14ac:dyDescent="0.3">
      <c r="A12" s="5" t="s">
        <v>21</v>
      </c>
      <c r="B12" s="6" t="s">
        <v>0</v>
      </c>
      <c r="C12" s="13"/>
    </row>
    <row r="13" spans="1:4" ht="16.5" thickBot="1" x14ac:dyDescent="0.3">
      <c r="A13" s="5" t="s">
        <v>22</v>
      </c>
      <c r="B13" s="6" t="s">
        <v>23</v>
      </c>
      <c r="C13" s="13"/>
    </row>
    <row r="14" spans="1:4" ht="16.5" thickBot="1" x14ac:dyDescent="0.3">
      <c r="A14" s="5"/>
      <c r="B14" s="6"/>
      <c r="C14" s="13"/>
    </row>
    <row r="15" spans="1:4" ht="16.5" thickBot="1" x14ac:dyDescent="0.3">
      <c r="A15" s="5" t="s">
        <v>25</v>
      </c>
      <c r="B15" s="6" t="s">
        <v>26</v>
      </c>
      <c r="C15" s="13"/>
    </row>
    <row r="16" spans="1:4" ht="16.5" thickBot="1" x14ac:dyDescent="0.3">
      <c r="A16" s="194" t="s">
        <v>1</v>
      </c>
      <c r="B16" s="195"/>
      <c r="C16" s="13">
        <f>SUM(C9:C15)</f>
        <v>2303.65</v>
      </c>
    </row>
    <row r="19" spans="1:4" x14ac:dyDescent="0.25">
      <c r="A19" s="197" t="s">
        <v>27</v>
      </c>
      <c r="B19" s="197"/>
      <c r="C19" s="197"/>
    </row>
    <row r="20" spans="1:4" x14ac:dyDescent="0.25">
      <c r="A20" s="2"/>
    </row>
    <row r="21" spans="1:4" x14ac:dyDescent="0.25">
      <c r="A21" s="196" t="s">
        <v>28</v>
      </c>
      <c r="B21" s="196"/>
      <c r="C21" s="196"/>
    </row>
    <row r="22" spans="1:4" ht="16.5" thickBot="1" x14ac:dyDescent="0.3"/>
    <row r="23" spans="1:4" ht="16.5" thickBot="1" x14ac:dyDescent="0.3">
      <c r="A23" s="3" t="s">
        <v>29</v>
      </c>
      <c r="B23" s="91" t="s">
        <v>30</v>
      </c>
      <c r="C23" s="91" t="s">
        <v>14</v>
      </c>
    </row>
    <row r="24" spans="1:4" ht="16.5" thickBot="1" x14ac:dyDescent="0.3">
      <c r="A24" s="5" t="s">
        <v>15</v>
      </c>
      <c r="B24" s="6" t="s">
        <v>31</v>
      </c>
      <c r="C24" s="13">
        <f>(C16/12)</f>
        <v>191.97083333333333</v>
      </c>
    </row>
    <row r="25" spans="1:4" ht="16.5" thickBot="1" x14ac:dyDescent="0.3">
      <c r="A25" s="5" t="s">
        <v>17</v>
      </c>
      <c r="B25" s="6" t="s">
        <v>32</v>
      </c>
      <c r="C25" s="13">
        <f>(C16/12)+(C16/3)/12</f>
        <v>255.96111111111111</v>
      </c>
    </row>
    <row r="26" spans="1:4" ht="16.5" thickBot="1" x14ac:dyDescent="0.3">
      <c r="A26" s="194" t="s">
        <v>1</v>
      </c>
      <c r="B26" s="195"/>
      <c r="C26" s="14">
        <f>SUM(C24:C25)</f>
        <v>447.93194444444441</v>
      </c>
    </row>
    <row r="29" spans="1:4" ht="32.25" customHeight="1" x14ac:dyDescent="0.25">
      <c r="A29" s="198" t="s">
        <v>33</v>
      </c>
      <c r="B29" s="198"/>
      <c r="C29" s="198"/>
      <c r="D29" s="198"/>
    </row>
    <row r="30" spans="1:4" ht="16.5" thickBot="1" x14ac:dyDescent="0.3"/>
    <row r="31" spans="1:4" ht="16.5" thickBot="1" x14ac:dyDescent="0.3">
      <c r="A31" s="3" t="s">
        <v>34</v>
      </c>
      <c r="B31" s="91" t="s">
        <v>35</v>
      </c>
      <c r="C31" s="91" t="s">
        <v>36</v>
      </c>
      <c r="D31" s="91" t="s">
        <v>14</v>
      </c>
    </row>
    <row r="32" spans="1:4" ht="16.5" thickBot="1" x14ac:dyDescent="0.3">
      <c r="A32" s="5" t="s">
        <v>15</v>
      </c>
      <c r="B32" s="6" t="s">
        <v>37</v>
      </c>
      <c r="C32" s="8">
        <v>0.2</v>
      </c>
      <c r="D32" s="13">
        <f>($C$16+$C$26)*C32</f>
        <v>550.31638888888892</v>
      </c>
    </row>
    <row r="33" spans="1:4" ht="16.5" thickBot="1" x14ac:dyDescent="0.3">
      <c r="A33" s="5" t="s">
        <v>17</v>
      </c>
      <c r="B33" s="6" t="s">
        <v>38</v>
      </c>
      <c r="C33" s="8">
        <v>2.5000000000000001E-2</v>
      </c>
      <c r="D33" s="13">
        <f>($C$16+$C$26)*C33</f>
        <v>68.789548611111115</v>
      </c>
    </row>
    <row r="34" spans="1:4" ht="16.5" thickBot="1" x14ac:dyDescent="0.3">
      <c r="A34" s="5" t="s">
        <v>19</v>
      </c>
      <c r="B34" s="6" t="s">
        <v>39</v>
      </c>
      <c r="C34" s="15">
        <v>0.03</v>
      </c>
      <c r="D34" s="13">
        <f t="shared" ref="D34:D39" si="0">($C$16+$C$26)*C34</f>
        <v>82.547458333333338</v>
      </c>
    </row>
    <row r="35" spans="1:4" ht="16.5" thickBot="1" x14ac:dyDescent="0.3">
      <c r="A35" s="5" t="s">
        <v>21</v>
      </c>
      <c r="B35" s="6" t="s">
        <v>40</v>
      </c>
      <c r="C35" s="8">
        <v>1.4999999999999999E-2</v>
      </c>
      <c r="D35" s="13">
        <f t="shared" si="0"/>
        <v>41.273729166666669</v>
      </c>
    </row>
    <row r="36" spans="1:4" ht="16.5" thickBot="1" x14ac:dyDescent="0.3">
      <c r="A36" s="5" t="s">
        <v>22</v>
      </c>
      <c r="B36" s="6" t="s">
        <v>41</v>
      </c>
      <c r="C36" s="8">
        <v>0.01</v>
      </c>
      <c r="D36" s="13">
        <f t="shared" si="0"/>
        <v>27.515819444444446</v>
      </c>
    </row>
    <row r="37" spans="1:4" ht="16.5" thickBot="1" x14ac:dyDescent="0.3">
      <c r="A37" s="5" t="s">
        <v>24</v>
      </c>
      <c r="B37" s="6" t="s">
        <v>3</v>
      </c>
      <c r="C37" s="8">
        <v>6.0000000000000001E-3</v>
      </c>
      <c r="D37" s="13">
        <f t="shared" si="0"/>
        <v>16.509491666666669</v>
      </c>
    </row>
    <row r="38" spans="1:4" ht="16.5" thickBot="1" x14ac:dyDescent="0.3">
      <c r="A38" s="5" t="s">
        <v>25</v>
      </c>
      <c r="B38" s="6" t="s">
        <v>4</v>
      </c>
      <c r="C38" s="8">
        <v>2E-3</v>
      </c>
      <c r="D38" s="13">
        <f t="shared" si="0"/>
        <v>5.5031638888888894</v>
      </c>
    </row>
    <row r="39" spans="1:4" ht="16.5" thickBot="1" x14ac:dyDescent="0.3">
      <c r="A39" s="5" t="s">
        <v>42</v>
      </c>
      <c r="B39" s="6" t="s">
        <v>5</v>
      </c>
      <c r="C39" s="8">
        <v>0.08</v>
      </c>
      <c r="D39" s="13">
        <f t="shared" si="0"/>
        <v>220.12655555555557</v>
      </c>
    </row>
    <row r="40" spans="1:4" ht="16.5" thickBot="1" x14ac:dyDescent="0.3">
      <c r="A40" s="194" t="s">
        <v>43</v>
      </c>
      <c r="B40" s="195"/>
      <c r="C40" s="8">
        <f>SUM(C32:C39)</f>
        <v>0.36800000000000005</v>
      </c>
      <c r="D40" s="14">
        <f>SUM(D32:D39)</f>
        <v>1012.5821555555556</v>
      </c>
    </row>
    <row r="43" spans="1:4" x14ac:dyDescent="0.25">
      <c r="A43" s="196" t="s">
        <v>44</v>
      </c>
      <c r="B43" s="196"/>
      <c r="C43" s="196"/>
    </row>
    <row r="44" spans="1:4" ht="16.5" thickBot="1" x14ac:dyDescent="0.3">
      <c r="D44" s="16"/>
    </row>
    <row r="45" spans="1:4" ht="16.5" thickBot="1" x14ac:dyDescent="0.3">
      <c r="A45" s="3" t="s">
        <v>45</v>
      </c>
      <c r="B45" s="91" t="s">
        <v>46</v>
      </c>
      <c r="C45" s="91" t="s">
        <v>14</v>
      </c>
      <c r="D45" s="16"/>
    </row>
    <row r="46" spans="1:4" ht="16.5" thickBot="1" x14ac:dyDescent="0.3">
      <c r="A46" s="5" t="s">
        <v>15</v>
      </c>
      <c r="B46" s="6" t="s">
        <v>47</v>
      </c>
      <c r="C46" s="13">
        <f>((BENEFICIOS!B3*2)*22)-($C$9*0.06)</f>
        <v>164.685</v>
      </c>
      <c r="D46" s="16"/>
    </row>
    <row r="47" spans="1:4" ht="16.5" thickBot="1" x14ac:dyDescent="0.3">
      <c r="A47" s="5" t="s">
        <v>17</v>
      </c>
      <c r="B47" s="6" t="s">
        <v>48</v>
      </c>
      <c r="C47" s="13">
        <f>(BENEFICIOS!B4*22)-((BENEFICIOS!B4*22)*0.1)</f>
        <v>485.1</v>
      </c>
    </row>
    <row r="48" spans="1:4" ht="16.5" thickBot="1" x14ac:dyDescent="0.3">
      <c r="A48" s="5" t="s">
        <v>19</v>
      </c>
      <c r="B48" s="6" t="s">
        <v>85</v>
      </c>
      <c r="C48" s="13">
        <f>BENEFICIOS!B5</f>
        <v>180</v>
      </c>
    </row>
    <row r="49" spans="1:3" ht="16.5" thickBot="1" x14ac:dyDescent="0.3">
      <c r="A49" s="5" t="s">
        <v>21</v>
      </c>
      <c r="B49" s="6" t="s">
        <v>86</v>
      </c>
      <c r="C49" s="13">
        <f>BENEFICIOS!B6</f>
        <v>20</v>
      </c>
    </row>
    <row r="50" spans="1:3" ht="16.5" thickBot="1" x14ac:dyDescent="0.3">
      <c r="A50" s="27" t="s">
        <v>22</v>
      </c>
      <c r="B50" s="23" t="str">
        <f>BENEFICIOS!A7</f>
        <v>Plano odontologico</v>
      </c>
      <c r="C50" s="26">
        <f>BENEFICIOS!B7</f>
        <v>16</v>
      </c>
    </row>
    <row r="51" spans="1:3" ht="16.5" thickBot="1" x14ac:dyDescent="0.3">
      <c r="A51" s="194" t="s">
        <v>1</v>
      </c>
      <c r="B51" s="195"/>
      <c r="C51" s="13">
        <f>SUM(C46:C50)</f>
        <v>865.78500000000008</v>
      </c>
    </row>
    <row r="54" spans="1:3" x14ac:dyDescent="0.25">
      <c r="A54" s="196" t="s">
        <v>49</v>
      </c>
      <c r="B54" s="196"/>
      <c r="C54" s="196"/>
    </row>
    <row r="55" spans="1:3" ht="16.5" thickBot="1" x14ac:dyDescent="0.3"/>
    <row r="56" spans="1:3" ht="16.5" thickBot="1" x14ac:dyDescent="0.3">
      <c r="A56" s="3">
        <v>2</v>
      </c>
      <c r="B56" s="91" t="s">
        <v>50</v>
      </c>
      <c r="C56" s="91" t="s">
        <v>14</v>
      </c>
    </row>
    <row r="57" spans="1:3" ht="16.5" thickBot="1" x14ac:dyDescent="0.3">
      <c r="A57" s="5" t="s">
        <v>29</v>
      </c>
      <c r="B57" s="6" t="s">
        <v>30</v>
      </c>
      <c r="C57" s="14">
        <f>C26</f>
        <v>447.93194444444441</v>
      </c>
    </row>
    <row r="58" spans="1:3" ht="16.5" thickBot="1" x14ac:dyDescent="0.3">
      <c r="A58" s="5" t="s">
        <v>34</v>
      </c>
      <c r="B58" s="6" t="s">
        <v>35</v>
      </c>
      <c r="C58" s="14">
        <f>D40</f>
        <v>1012.5821555555556</v>
      </c>
    </row>
    <row r="59" spans="1:3" ht="16.5" thickBot="1" x14ac:dyDescent="0.3">
      <c r="A59" s="5" t="s">
        <v>45</v>
      </c>
      <c r="B59" s="6" t="s">
        <v>46</v>
      </c>
      <c r="C59" s="14">
        <f>C51</f>
        <v>865.78500000000008</v>
      </c>
    </row>
    <row r="60" spans="1:3" ht="16.5" thickBot="1" x14ac:dyDescent="0.3">
      <c r="A60" s="194" t="s">
        <v>1</v>
      </c>
      <c r="B60" s="195"/>
      <c r="C60" s="14">
        <f>SUM(C57:C59)</f>
        <v>2326.2991000000002</v>
      </c>
    </row>
    <row r="61" spans="1:3" x14ac:dyDescent="0.25">
      <c r="A61" s="1"/>
    </row>
    <row r="63" spans="1:3" x14ac:dyDescent="0.25">
      <c r="A63" s="197" t="s">
        <v>51</v>
      </c>
      <c r="B63" s="197"/>
      <c r="C63" s="197"/>
    </row>
    <row r="64" spans="1:3" ht="16.5" thickBot="1" x14ac:dyDescent="0.3"/>
    <row r="65" spans="1:6" ht="16.5" thickBot="1" x14ac:dyDescent="0.3">
      <c r="A65" s="3">
        <v>3</v>
      </c>
      <c r="B65" s="91" t="s">
        <v>52</v>
      </c>
      <c r="C65" s="91" t="s">
        <v>131</v>
      </c>
      <c r="D65" s="91" t="s">
        <v>132</v>
      </c>
    </row>
    <row r="66" spans="1:6" ht="16.5" thickBot="1" x14ac:dyDescent="0.3">
      <c r="A66" s="5" t="s">
        <v>15</v>
      </c>
      <c r="B66" s="9" t="s">
        <v>53</v>
      </c>
      <c r="C66" s="68">
        <v>0.1</v>
      </c>
      <c r="D66" s="13">
        <f>C66*($C$16+$C$26+C51)</f>
        <v>361.73669444444454</v>
      </c>
      <c r="E66" s="17"/>
      <c r="F66" s="16"/>
    </row>
    <row r="67" spans="1:6" ht="16.5" thickBot="1" x14ac:dyDescent="0.3">
      <c r="A67" s="5" t="s">
        <v>17</v>
      </c>
      <c r="B67" s="9" t="s">
        <v>54</v>
      </c>
      <c r="C67" s="68">
        <v>6.7000000000000002E-3</v>
      </c>
      <c r="D67" s="13">
        <f>C67*($C$16+$C$26)</f>
        <v>18.43559902777778</v>
      </c>
      <c r="E67" s="17"/>
      <c r="F67" s="16"/>
    </row>
    <row r="68" spans="1:6" ht="16.5" thickBot="1" x14ac:dyDescent="0.3">
      <c r="A68" s="5" t="s">
        <v>19</v>
      </c>
      <c r="B68" s="9" t="s">
        <v>55</v>
      </c>
      <c r="C68" s="68">
        <v>2.6800000000000001E-3</v>
      </c>
      <c r="D68" s="13">
        <f>C68*($C$16+$C$26)</f>
        <v>7.3742396111111121</v>
      </c>
      <c r="E68" s="17"/>
      <c r="F68" s="16"/>
    </row>
    <row r="69" spans="1:6" ht="16.5" thickBot="1" x14ac:dyDescent="0.3">
      <c r="A69" s="5" t="s">
        <v>21</v>
      </c>
      <c r="B69" s="9" t="s">
        <v>56</v>
      </c>
      <c r="C69" s="68">
        <f>D69/(D40+C26+C16)</f>
        <v>1.9444444444444448E-2</v>
      </c>
      <c r="D69" s="13">
        <f>(((C16+C26+D40)/30)*7)/12</f>
        <v>73.192079722222232</v>
      </c>
      <c r="E69" s="17"/>
      <c r="F69" s="16"/>
    </row>
    <row r="70" spans="1:6" ht="16.5" thickBot="1" x14ac:dyDescent="0.3">
      <c r="A70" s="5" t="s">
        <v>22</v>
      </c>
      <c r="B70" s="9" t="s">
        <v>133</v>
      </c>
      <c r="C70" s="68">
        <f>D70/(C16+C26+D40)</f>
        <v>1.5555555555555559E-3</v>
      </c>
      <c r="D70" s="13">
        <f>D69*0.08</f>
        <v>5.8553663777777789</v>
      </c>
      <c r="E70" s="17"/>
      <c r="F70" s="82"/>
    </row>
    <row r="71" spans="1:6" ht="16.5" thickBot="1" x14ac:dyDescent="0.3">
      <c r="A71" s="5" t="s">
        <v>24</v>
      </c>
      <c r="B71" s="9" t="s">
        <v>57</v>
      </c>
      <c r="C71" s="68">
        <v>5.9999999999999995E-4</v>
      </c>
      <c r="D71" s="13">
        <f>D70*0.4</f>
        <v>2.3421465511111115</v>
      </c>
      <c r="E71" s="17"/>
      <c r="F71" s="82"/>
    </row>
    <row r="72" spans="1:6" ht="16.5" thickBot="1" x14ac:dyDescent="0.3">
      <c r="A72" s="5" t="s">
        <v>25</v>
      </c>
      <c r="B72" s="9" t="s">
        <v>109</v>
      </c>
      <c r="C72" s="68">
        <f>D72/(D40+C26+C16)</f>
        <v>2.3391812865497078E-2</v>
      </c>
      <c r="D72" s="13">
        <f>D39*0.4</f>
        <v>88.050622222222231</v>
      </c>
      <c r="F72" s="82"/>
    </row>
    <row r="73" spans="1:6" ht="16.5" thickBot="1" x14ac:dyDescent="0.3">
      <c r="A73" s="199" t="s">
        <v>1</v>
      </c>
      <c r="B73" s="200"/>
      <c r="C73" s="14"/>
      <c r="D73" s="14">
        <f>SUM(D66:D72)</f>
        <v>556.98674795666682</v>
      </c>
    </row>
    <row r="76" spans="1:6" x14ac:dyDescent="0.25">
      <c r="A76" s="197" t="s">
        <v>58</v>
      </c>
      <c r="B76" s="197"/>
      <c r="C76" s="197"/>
    </row>
    <row r="79" spans="1:6" x14ac:dyDescent="0.25">
      <c r="A79" s="196" t="s">
        <v>59</v>
      </c>
      <c r="B79" s="196"/>
      <c r="C79" s="196"/>
    </row>
    <row r="80" spans="1:6" ht="16.5" thickBot="1" x14ac:dyDescent="0.3">
      <c r="A80" s="2"/>
    </row>
    <row r="81" spans="1:6" ht="16.5" thickBot="1" x14ac:dyDescent="0.3">
      <c r="A81" s="3" t="s">
        <v>60</v>
      </c>
      <c r="B81" s="91" t="s">
        <v>61</v>
      </c>
      <c r="C81" s="91" t="s">
        <v>14</v>
      </c>
    </row>
    <row r="82" spans="1:6" ht="16.5" thickBot="1" x14ac:dyDescent="0.3">
      <c r="A82" s="5" t="s">
        <v>15</v>
      </c>
      <c r="B82" s="6" t="s">
        <v>2</v>
      </c>
      <c r="C82" s="13">
        <f>(C26*1.368)/12</f>
        <v>51.064241666666668</v>
      </c>
      <c r="D82" s="17"/>
      <c r="E82" s="16"/>
      <c r="F82" s="16"/>
    </row>
    <row r="83" spans="1:6" ht="16.5" thickBot="1" x14ac:dyDescent="0.3">
      <c r="A83" s="5" t="s">
        <v>17</v>
      </c>
      <c r="B83" s="6" t="s">
        <v>61</v>
      </c>
      <c r="C83" s="13">
        <f>(((($C$16+$C$60+$D$73)/30)*4.8739)/12)</f>
        <v>70.223907303766666</v>
      </c>
    </row>
    <row r="84" spans="1:6" ht="16.5" thickBot="1" x14ac:dyDescent="0.3">
      <c r="A84" s="5" t="s">
        <v>19</v>
      </c>
      <c r="B84" s="6" t="s">
        <v>62</v>
      </c>
      <c r="C84" s="13">
        <f>(((($C$16+$C$60+$D$73)/30)*0.1997)/12)</f>
        <v>2.8773085801026284</v>
      </c>
    </row>
    <row r="85" spans="1:6" ht="16.5" thickBot="1" x14ac:dyDescent="0.3">
      <c r="A85" s="5" t="s">
        <v>21</v>
      </c>
      <c r="B85" s="6" t="s">
        <v>63</v>
      </c>
      <c r="C85" s="13">
        <f>(((($C$16+$C$60+$D$73)/30)*0.9659)/12)</f>
        <v>13.916837043170402</v>
      </c>
    </row>
    <row r="86" spans="1:6" ht="16.5" thickBot="1" x14ac:dyDescent="0.3">
      <c r="A86" s="5" t="s">
        <v>22</v>
      </c>
      <c r="B86" s="6" t="s">
        <v>64</v>
      </c>
      <c r="C86" s="13">
        <f>(((($C$16+$C$60+$D$73)/30)*2.4753)/12)</f>
        <v>35.664506401242043</v>
      </c>
    </row>
    <row r="87" spans="1:6" ht="16.5" thickBot="1" x14ac:dyDescent="0.3">
      <c r="A87" s="5" t="s">
        <v>24</v>
      </c>
      <c r="B87" s="6" t="s">
        <v>26</v>
      </c>
      <c r="C87" s="7"/>
    </row>
    <row r="88" spans="1:6" ht="16.5" thickBot="1" x14ac:dyDescent="0.3">
      <c r="A88" s="194" t="s">
        <v>43</v>
      </c>
      <c r="B88" s="195"/>
      <c r="C88" s="14">
        <f>SUM(C82:C87)</f>
        <v>173.74680099494842</v>
      </c>
    </row>
    <row r="91" spans="1:6" x14ac:dyDescent="0.25">
      <c r="A91" s="196" t="s">
        <v>65</v>
      </c>
      <c r="B91" s="196"/>
      <c r="C91" s="196"/>
    </row>
    <row r="92" spans="1:6" ht="16.5" thickBot="1" x14ac:dyDescent="0.3">
      <c r="A92" s="2"/>
    </row>
    <row r="93" spans="1:6" ht="16.5" thickBot="1" x14ac:dyDescent="0.3">
      <c r="A93" s="3" t="s">
        <v>66</v>
      </c>
      <c r="B93" s="91" t="s">
        <v>67</v>
      </c>
      <c r="C93" s="91" t="s">
        <v>14</v>
      </c>
    </row>
    <row r="94" spans="1:6" ht="16.5" thickBot="1" x14ac:dyDescent="0.3">
      <c r="A94" s="5" t="s">
        <v>15</v>
      </c>
      <c r="B94" s="6" t="s">
        <v>84</v>
      </c>
      <c r="C94" s="7">
        <v>0</v>
      </c>
    </row>
    <row r="95" spans="1:6" ht="16.5" thickBot="1" x14ac:dyDescent="0.3">
      <c r="A95" s="194" t="s">
        <v>1</v>
      </c>
      <c r="B95" s="195"/>
      <c r="C95" s="7">
        <v>0</v>
      </c>
    </row>
    <row r="98" spans="1:3" x14ac:dyDescent="0.25">
      <c r="A98" s="196" t="s">
        <v>68</v>
      </c>
      <c r="B98" s="196"/>
      <c r="C98" s="196"/>
    </row>
    <row r="99" spans="1:3" ht="16.5" thickBot="1" x14ac:dyDescent="0.3">
      <c r="A99" s="2"/>
    </row>
    <row r="100" spans="1:3" ht="16.5" thickBot="1" x14ac:dyDescent="0.3">
      <c r="A100" s="3">
        <v>4</v>
      </c>
      <c r="B100" s="91" t="s">
        <v>69</v>
      </c>
      <c r="C100" s="91" t="s">
        <v>14</v>
      </c>
    </row>
    <row r="101" spans="1:3" ht="16.5" thickBot="1" x14ac:dyDescent="0.3">
      <c r="A101" s="5" t="s">
        <v>60</v>
      </c>
      <c r="B101" s="6" t="s">
        <v>61</v>
      </c>
      <c r="C101" s="13">
        <f>C88</f>
        <v>173.74680099494842</v>
      </c>
    </row>
    <row r="102" spans="1:3" ht="16.5" thickBot="1" x14ac:dyDescent="0.3">
      <c r="A102" s="5" t="s">
        <v>66</v>
      </c>
      <c r="B102" s="6" t="s">
        <v>67</v>
      </c>
      <c r="C102" s="13">
        <f>C95</f>
        <v>0</v>
      </c>
    </row>
    <row r="103" spans="1:3" ht="16.5" thickBot="1" x14ac:dyDescent="0.3">
      <c r="A103" s="194" t="s">
        <v>1</v>
      </c>
      <c r="B103" s="195"/>
      <c r="C103" s="14">
        <f>SUM(C101:C102)</f>
        <v>173.74680099494842</v>
      </c>
    </row>
    <row r="106" spans="1:3" x14ac:dyDescent="0.25">
      <c r="A106" s="197" t="s">
        <v>70</v>
      </c>
      <c r="B106" s="197"/>
      <c r="C106" s="197"/>
    </row>
    <row r="107" spans="1:3" ht="16.5" thickBot="1" x14ac:dyDescent="0.3"/>
    <row r="108" spans="1:3" ht="16.5" thickBot="1" x14ac:dyDescent="0.3">
      <c r="A108" s="3">
        <v>5</v>
      </c>
      <c r="B108" s="10" t="s">
        <v>7</v>
      </c>
      <c r="C108" s="91" t="s">
        <v>14</v>
      </c>
    </row>
    <row r="109" spans="1:3" ht="16.5" thickBot="1" x14ac:dyDescent="0.3">
      <c r="A109" s="5" t="s">
        <v>15</v>
      </c>
      <c r="B109" s="6" t="s">
        <v>71</v>
      </c>
      <c r="C109" s="13">
        <f>'Uniformes e utensilhos'!G25</f>
        <v>43.243750000000006</v>
      </c>
    </row>
    <row r="110" spans="1:3" ht="16.5" thickBot="1" x14ac:dyDescent="0.3">
      <c r="A110" s="5" t="s">
        <v>17</v>
      </c>
      <c r="B110" s="6" t="s">
        <v>129</v>
      </c>
      <c r="C110" s="13"/>
    </row>
    <row r="111" spans="1:3" ht="16.5" thickBot="1" x14ac:dyDescent="0.3">
      <c r="A111" s="5" t="s">
        <v>19</v>
      </c>
      <c r="B111" s="6" t="s">
        <v>73</v>
      </c>
      <c r="C111" s="14">
        <f>'Uniformes e utensilhos'!L41</f>
        <v>19.643533650000002</v>
      </c>
    </row>
    <row r="112" spans="1:3" ht="16.5" thickBot="1" x14ac:dyDescent="0.3">
      <c r="A112" s="5" t="s">
        <v>21</v>
      </c>
      <c r="B112" s="6" t="s">
        <v>134</v>
      </c>
      <c r="C112" s="13">
        <f>MATERIAIS!G87</f>
        <v>0</v>
      </c>
    </row>
    <row r="113" spans="1:7" ht="16.5" thickBot="1" x14ac:dyDescent="0.3">
      <c r="A113" s="194" t="s">
        <v>43</v>
      </c>
      <c r="B113" s="195"/>
      <c r="C113" s="13">
        <f>SUM(C109:C112)</f>
        <v>62.887283650000008</v>
      </c>
    </row>
    <row r="116" spans="1:7" x14ac:dyDescent="0.25">
      <c r="A116" s="197" t="s">
        <v>74</v>
      </c>
      <c r="B116" s="197"/>
      <c r="C116" s="197"/>
    </row>
    <row r="117" spans="1:7" ht="16.5" thickBot="1" x14ac:dyDescent="0.3"/>
    <row r="118" spans="1:7" ht="16.5" thickBot="1" x14ac:dyDescent="0.3">
      <c r="A118" s="3">
        <v>6</v>
      </c>
      <c r="B118" s="10" t="s">
        <v>8</v>
      </c>
      <c r="C118" s="91" t="s">
        <v>36</v>
      </c>
      <c r="D118" s="91" t="s">
        <v>14</v>
      </c>
    </row>
    <row r="119" spans="1:7" ht="16.5" thickBot="1" x14ac:dyDescent="0.3">
      <c r="A119" s="5" t="s">
        <v>15</v>
      </c>
      <c r="B119" s="6" t="s">
        <v>9</v>
      </c>
      <c r="C119" s="68">
        <f>0.05</f>
        <v>0.05</v>
      </c>
      <c r="D119" s="13">
        <f>($C$16+$C$60+$D$73+$C$103+$C$113)*C119</f>
        <v>271.17849663008076</v>
      </c>
    </row>
    <row r="120" spans="1:7" ht="16.5" thickBot="1" x14ac:dyDescent="0.3">
      <c r="A120" s="5" t="s">
        <v>17</v>
      </c>
      <c r="B120" s="6" t="s">
        <v>11</v>
      </c>
      <c r="C120" s="20">
        <v>5</v>
      </c>
      <c r="D120" s="14">
        <f>(C131+C132+C133+C134+C135+D119)*(C120/100)</f>
        <v>284.7374214615848</v>
      </c>
      <c r="F120" s="17"/>
      <c r="G120" s="79"/>
    </row>
    <row r="121" spans="1:7" ht="16.5" thickBot="1" x14ac:dyDescent="0.3">
      <c r="A121" s="5" t="s">
        <v>19</v>
      </c>
      <c r="B121" s="6" t="s">
        <v>10</v>
      </c>
      <c r="C121" s="7"/>
      <c r="D121" s="7"/>
      <c r="G121" s="81"/>
    </row>
    <row r="122" spans="1:7" ht="16.5" thickBot="1" x14ac:dyDescent="0.3">
      <c r="A122" s="5"/>
      <c r="B122" s="6" t="s">
        <v>88</v>
      </c>
      <c r="C122" s="13">
        <v>3.65</v>
      </c>
      <c r="D122" s="14">
        <f>((($C$136+$D$119+$D$120)/0.9135)*((C122)/100))</f>
        <v>238.91760651374355</v>
      </c>
    </row>
    <row r="123" spans="1:7" ht="16.5" thickBot="1" x14ac:dyDescent="0.3">
      <c r="A123" s="5"/>
      <c r="B123" s="6" t="s">
        <v>75</v>
      </c>
      <c r="C123" s="13"/>
      <c r="D123" s="7"/>
    </row>
    <row r="124" spans="1:7" ht="16.5" thickBot="1" x14ac:dyDescent="0.3">
      <c r="A124" s="5"/>
      <c r="B124" s="6" t="s">
        <v>89</v>
      </c>
      <c r="C124" s="13">
        <v>5</v>
      </c>
      <c r="D124" s="14">
        <f>((($C$136+$D$119+$D$120)/0.9135)*((C124)/100))</f>
        <v>327.28439248458022</v>
      </c>
    </row>
    <row r="125" spans="1:7" ht="16.5" thickBot="1" x14ac:dyDescent="0.3">
      <c r="A125" s="194" t="s">
        <v>43</v>
      </c>
      <c r="B125" s="195"/>
      <c r="C125" s="7"/>
      <c r="D125" s="14">
        <f>SUM(D119:D124)</f>
        <v>1122.1179170899893</v>
      </c>
    </row>
    <row r="128" spans="1:7" x14ac:dyDescent="0.25">
      <c r="A128" s="197" t="s">
        <v>76</v>
      </c>
      <c r="B128" s="197"/>
      <c r="C128" s="197"/>
    </row>
    <row r="129" spans="1:7" ht="16.5" thickBot="1" x14ac:dyDescent="0.3"/>
    <row r="130" spans="1:7" ht="16.5" thickBot="1" x14ac:dyDescent="0.3">
      <c r="A130" s="3"/>
      <c r="B130" s="91" t="s">
        <v>77</v>
      </c>
      <c r="C130" s="91" t="s">
        <v>14</v>
      </c>
    </row>
    <row r="131" spans="1:7" ht="16.5" thickBot="1" x14ac:dyDescent="0.3">
      <c r="A131" s="12" t="s">
        <v>15</v>
      </c>
      <c r="B131" s="6" t="s">
        <v>12</v>
      </c>
      <c r="C131" s="19">
        <f>C16</f>
        <v>2303.65</v>
      </c>
    </row>
    <row r="132" spans="1:7" ht="16.5" thickBot="1" x14ac:dyDescent="0.3">
      <c r="A132" s="12" t="s">
        <v>17</v>
      </c>
      <c r="B132" s="6" t="s">
        <v>27</v>
      </c>
      <c r="C132" s="19">
        <f>C60</f>
        <v>2326.2991000000002</v>
      </c>
    </row>
    <row r="133" spans="1:7" ht="16.5" thickBot="1" x14ac:dyDescent="0.3">
      <c r="A133" s="12" t="s">
        <v>19</v>
      </c>
      <c r="B133" s="6" t="s">
        <v>51</v>
      </c>
      <c r="C133" s="19">
        <f>D73</f>
        <v>556.98674795666682</v>
      </c>
    </row>
    <row r="134" spans="1:7" ht="16.5" thickBot="1" x14ac:dyDescent="0.3">
      <c r="A134" s="12" t="s">
        <v>21</v>
      </c>
      <c r="B134" s="6" t="s">
        <v>58</v>
      </c>
      <c r="C134" s="19">
        <f>C103</f>
        <v>173.74680099494842</v>
      </c>
    </row>
    <row r="135" spans="1:7" ht="16.5" thickBot="1" x14ac:dyDescent="0.3">
      <c r="A135" s="12" t="s">
        <v>22</v>
      </c>
      <c r="B135" s="6" t="s">
        <v>70</v>
      </c>
      <c r="C135" s="19">
        <f>C113</f>
        <v>62.887283650000008</v>
      </c>
    </row>
    <row r="136" spans="1:7" ht="16.5" customHeight="1" thickBot="1" x14ac:dyDescent="0.3">
      <c r="A136" s="194" t="s">
        <v>78</v>
      </c>
      <c r="B136" s="195"/>
      <c r="C136" s="19">
        <f>SUM(C131:C135)</f>
        <v>5423.5699326016147</v>
      </c>
    </row>
    <row r="137" spans="1:7" ht="16.5" thickBot="1" x14ac:dyDescent="0.3">
      <c r="A137" s="12" t="s">
        <v>24</v>
      </c>
      <c r="B137" s="6" t="s">
        <v>79</v>
      </c>
      <c r="C137" s="19">
        <f>D125</f>
        <v>1122.1179170899893</v>
      </c>
    </row>
    <row r="138" spans="1:7" ht="16.5" customHeight="1" thickBot="1" x14ac:dyDescent="0.3">
      <c r="A138" s="194" t="s">
        <v>80</v>
      </c>
      <c r="B138" s="195"/>
      <c r="C138" s="19">
        <f>C136+C137</f>
        <v>6545.6878496916042</v>
      </c>
      <c r="G138" s="31"/>
    </row>
    <row r="139" spans="1:7" x14ac:dyDescent="0.25">
      <c r="C139" s="16"/>
      <c r="G139" s="31"/>
    </row>
    <row r="140" spans="1:7" x14ac:dyDescent="0.25">
      <c r="G140" s="31"/>
    </row>
    <row r="142" spans="1:7" x14ac:dyDescent="0.25">
      <c r="C142" s="16"/>
    </row>
  </sheetData>
  <mergeCells count="30">
    <mergeCell ref="A138:B138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25:B125"/>
    <mergeCell ref="A128:C128"/>
    <mergeCell ref="A136:B136"/>
    <mergeCell ref="A79:C79"/>
    <mergeCell ref="A21:C21"/>
    <mergeCell ref="A26:B26"/>
    <mergeCell ref="A29:D29"/>
    <mergeCell ref="A40:B40"/>
    <mergeCell ref="A43:C43"/>
    <mergeCell ref="A51:B51"/>
    <mergeCell ref="A54:C54"/>
    <mergeCell ref="A60:B60"/>
    <mergeCell ref="A63:C63"/>
    <mergeCell ref="A73:B73"/>
    <mergeCell ref="A76:C76"/>
    <mergeCell ref="A19:C19"/>
    <mergeCell ref="A1:D1"/>
    <mergeCell ref="A2:D2"/>
    <mergeCell ref="A3:D3"/>
    <mergeCell ref="A6:C6"/>
    <mergeCell ref="A16:B16"/>
  </mergeCells>
  <pageMargins left="0.511811024" right="0.511811024" top="0.78740157499999996" bottom="0.78740157499999996" header="0.31496062000000002" footer="0.31496062000000002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showGridLines="0" topLeftCell="A49" zoomScaleNormal="100" workbookViewId="0">
      <selection activeCell="E103" sqref="E103:E105"/>
    </sheetView>
  </sheetViews>
  <sheetFormatPr defaultRowHeight="15.75" x14ac:dyDescent="0.25"/>
  <cols>
    <col min="1" max="1" width="9.140625" style="11"/>
    <col min="2" max="2" width="72.140625" style="11" customWidth="1"/>
    <col min="3" max="3" width="18" style="11" customWidth="1"/>
    <col min="4" max="4" width="14.28515625" style="11" customWidth="1"/>
    <col min="5" max="5" width="12.7109375" style="11" customWidth="1"/>
    <col min="6" max="6" width="12" style="11" customWidth="1"/>
    <col min="7" max="7" width="15.140625" style="11" customWidth="1"/>
    <col min="8" max="16384" width="9.140625" style="11"/>
  </cols>
  <sheetData>
    <row r="1" spans="1:4" ht="23.25" x14ac:dyDescent="0.35">
      <c r="A1" s="201" t="s">
        <v>81</v>
      </c>
      <c r="B1" s="201"/>
      <c r="C1" s="201"/>
      <c r="D1" s="201"/>
    </row>
    <row r="2" spans="1:4" ht="23.25" x14ac:dyDescent="0.35">
      <c r="A2" s="201" t="s">
        <v>82</v>
      </c>
      <c r="B2" s="201"/>
      <c r="C2" s="201"/>
      <c r="D2" s="201"/>
    </row>
    <row r="3" spans="1:4" x14ac:dyDescent="0.25">
      <c r="A3" s="202" t="s">
        <v>83</v>
      </c>
      <c r="B3" s="202"/>
      <c r="C3" s="202"/>
      <c r="D3" s="202"/>
    </row>
    <row r="6" spans="1:4" x14ac:dyDescent="0.25">
      <c r="A6" s="203" t="s">
        <v>12</v>
      </c>
      <c r="B6" s="203"/>
      <c r="C6" s="203"/>
    </row>
    <row r="7" spans="1:4" ht="16.5" thickBot="1" x14ac:dyDescent="0.3"/>
    <row r="8" spans="1:4" ht="16.5" thickBot="1" x14ac:dyDescent="0.3">
      <c r="A8" s="3">
        <v>1</v>
      </c>
      <c r="B8" s="4" t="s">
        <v>13</v>
      </c>
      <c r="C8" s="4" t="s">
        <v>14</v>
      </c>
    </row>
    <row r="9" spans="1:4" ht="16.5" thickBot="1" x14ac:dyDescent="0.3">
      <c r="A9" s="5" t="s">
        <v>15</v>
      </c>
      <c r="B9" s="6" t="s">
        <v>16</v>
      </c>
      <c r="C9" s="13">
        <v>1655.25</v>
      </c>
    </row>
    <row r="10" spans="1:4" ht="16.5" thickBot="1" x14ac:dyDescent="0.3">
      <c r="A10" s="5" t="s">
        <v>17</v>
      </c>
      <c r="B10" s="6" t="s">
        <v>18</v>
      </c>
      <c r="C10" s="13"/>
    </row>
    <row r="11" spans="1:4" ht="16.5" thickBot="1" x14ac:dyDescent="0.3">
      <c r="A11" s="5" t="s">
        <v>19</v>
      </c>
      <c r="B11" s="6" t="s">
        <v>20</v>
      </c>
      <c r="C11" s="13"/>
    </row>
    <row r="12" spans="1:4" ht="16.5" thickBot="1" x14ac:dyDescent="0.3">
      <c r="A12" s="5" t="s">
        <v>21</v>
      </c>
      <c r="B12" s="6" t="s">
        <v>0</v>
      </c>
      <c r="C12" s="13"/>
    </row>
    <row r="13" spans="1:4" ht="16.5" thickBot="1" x14ac:dyDescent="0.3">
      <c r="A13" s="5" t="s">
        <v>22</v>
      </c>
      <c r="B13" s="6" t="s">
        <v>23</v>
      </c>
      <c r="C13" s="13"/>
    </row>
    <row r="14" spans="1:4" ht="16.5" thickBot="1" x14ac:dyDescent="0.3">
      <c r="A14" s="5"/>
      <c r="B14" s="6"/>
      <c r="C14" s="13"/>
    </row>
    <row r="15" spans="1:4" ht="16.5" thickBot="1" x14ac:dyDescent="0.3">
      <c r="A15" s="5" t="s">
        <v>25</v>
      </c>
      <c r="B15" s="6" t="s">
        <v>26</v>
      </c>
      <c r="C15" s="13"/>
    </row>
    <row r="16" spans="1:4" ht="16.5" thickBot="1" x14ac:dyDescent="0.3">
      <c r="A16" s="194" t="s">
        <v>1</v>
      </c>
      <c r="B16" s="195"/>
      <c r="C16" s="13">
        <f>C9</f>
        <v>1655.25</v>
      </c>
    </row>
    <row r="19" spans="1:4" x14ac:dyDescent="0.25">
      <c r="A19" s="197" t="s">
        <v>27</v>
      </c>
      <c r="B19" s="197"/>
      <c r="C19" s="197"/>
    </row>
    <row r="20" spans="1:4" x14ac:dyDescent="0.25">
      <c r="A20" s="2"/>
    </row>
    <row r="21" spans="1:4" x14ac:dyDescent="0.25">
      <c r="A21" s="196" t="s">
        <v>28</v>
      </c>
      <c r="B21" s="196"/>
      <c r="C21" s="196"/>
    </row>
    <row r="22" spans="1:4" ht="16.5" thickBot="1" x14ac:dyDescent="0.3"/>
    <row r="23" spans="1:4" ht="16.5" thickBot="1" x14ac:dyDescent="0.3">
      <c r="A23" s="3" t="s">
        <v>29</v>
      </c>
      <c r="B23" s="4" t="s">
        <v>30</v>
      </c>
      <c r="C23" s="4" t="s">
        <v>14</v>
      </c>
    </row>
    <row r="24" spans="1:4" ht="16.5" thickBot="1" x14ac:dyDescent="0.3">
      <c r="A24" s="5" t="s">
        <v>15</v>
      </c>
      <c r="B24" s="6" t="s">
        <v>31</v>
      </c>
      <c r="C24" s="13">
        <f>(C16/12)</f>
        <v>137.9375</v>
      </c>
    </row>
    <row r="25" spans="1:4" ht="16.5" thickBot="1" x14ac:dyDescent="0.3">
      <c r="A25" s="5" t="s">
        <v>17</v>
      </c>
      <c r="B25" s="6" t="s">
        <v>32</v>
      </c>
      <c r="C25" s="13">
        <f>(C16/12)+(C16/3)/12</f>
        <v>183.91666666666666</v>
      </c>
    </row>
    <row r="26" spans="1:4" ht="16.5" thickBot="1" x14ac:dyDescent="0.3">
      <c r="A26" s="194" t="s">
        <v>1</v>
      </c>
      <c r="B26" s="195"/>
      <c r="C26" s="14">
        <f>SUM(C24:C25)</f>
        <v>321.85416666666663</v>
      </c>
    </row>
    <row r="29" spans="1:4" ht="32.25" customHeight="1" x14ac:dyDescent="0.25">
      <c r="A29" s="198" t="s">
        <v>33</v>
      </c>
      <c r="B29" s="198"/>
      <c r="C29" s="198"/>
      <c r="D29" s="198"/>
    </row>
    <row r="30" spans="1:4" ht="16.5" thickBot="1" x14ac:dyDescent="0.3"/>
    <row r="31" spans="1:4" ht="16.5" thickBot="1" x14ac:dyDescent="0.3">
      <c r="A31" s="3" t="s">
        <v>34</v>
      </c>
      <c r="B31" s="4" t="s">
        <v>35</v>
      </c>
      <c r="C31" s="4" t="s">
        <v>36</v>
      </c>
      <c r="D31" s="4" t="s">
        <v>14</v>
      </c>
    </row>
    <row r="32" spans="1:4" ht="16.5" thickBot="1" x14ac:dyDescent="0.3">
      <c r="A32" s="5" t="s">
        <v>15</v>
      </c>
      <c r="B32" s="6" t="s">
        <v>37</v>
      </c>
      <c r="C32" s="8">
        <v>0.2</v>
      </c>
      <c r="D32" s="13">
        <f>($C$16+$C$26)*C32</f>
        <v>395.42083333333335</v>
      </c>
    </row>
    <row r="33" spans="1:4" ht="16.5" thickBot="1" x14ac:dyDescent="0.3">
      <c r="A33" s="5" t="s">
        <v>17</v>
      </c>
      <c r="B33" s="6" t="s">
        <v>38</v>
      </c>
      <c r="C33" s="8">
        <v>2.5000000000000001E-2</v>
      </c>
      <c r="D33" s="13">
        <f>($C$16+$C$26)*C33</f>
        <v>49.427604166666669</v>
      </c>
    </row>
    <row r="34" spans="1:4" ht="16.5" thickBot="1" x14ac:dyDescent="0.3">
      <c r="A34" s="5" t="s">
        <v>19</v>
      </c>
      <c r="B34" s="6" t="s">
        <v>39</v>
      </c>
      <c r="C34" s="15">
        <v>0.03</v>
      </c>
      <c r="D34" s="13">
        <f t="shared" ref="D34:D39" si="0">($C$16+$C$26)*C34</f>
        <v>59.313124999999992</v>
      </c>
    </row>
    <row r="35" spans="1:4" ht="16.5" thickBot="1" x14ac:dyDescent="0.3">
      <c r="A35" s="5" t="s">
        <v>21</v>
      </c>
      <c r="B35" s="6" t="s">
        <v>40</v>
      </c>
      <c r="C35" s="8">
        <v>1.4999999999999999E-2</v>
      </c>
      <c r="D35" s="13">
        <f t="shared" si="0"/>
        <v>29.656562499999996</v>
      </c>
    </row>
    <row r="36" spans="1:4" ht="16.5" thickBot="1" x14ac:dyDescent="0.3">
      <c r="A36" s="5" t="s">
        <v>22</v>
      </c>
      <c r="B36" s="6" t="s">
        <v>41</v>
      </c>
      <c r="C36" s="8">
        <v>0.01</v>
      </c>
      <c r="D36" s="13">
        <f t="shared" si="0"/>
        <v>19.771041666666665</v>
      </c>
    </row>
    <row r="37" spans="1:4" ht="16.5" thickBot="1" x14ac:dyDescent="0.3">
      <c r="A37" s="5" t="s">
        <v>24</v>
      </c>
      <c r="B37" s="6" t="s">
        <v>3</v>
      </c>
      <c r="C37" s="8">
        <v>6.0000000000000001E-3</v>
      </c>
      <c r="D37" s="13">
        <f t="shared" si="0"/>
        <v>11.862625</v>
      </c>
    </row>
    <row r="38" spans="1:4" ht="16.5" thickBot="1" x14ac:dyDescent="0.3">
      <c r="A38" s="5" t="s">
        <v>25</v>
      </c>
      <c r="B38" s="6" t="s">
        <v>4</v>
      </c>
      <c r="C38" s="8">
        <v>2E-3</v>
      </c>
      <c r="D38" s="13">
        <f t="shared" si="0"/>
        <v>3.9542083333333333</v>
      </c>
    </row>
    <row r="39" spans="1:4" ht="16.5" thickBot="1" x14ac:dyDescent="0.3">
      <c r="A39" s="5" t="s">
        <v>42</v>
      </c>
      <c r="B39" s="6" t="s">
        <v>5</v>
      </c>
      <c r="C39" s="8">
        <v>0.08</v>
      </c>
      <c r="D39" s="13">
        <f t="shared" si="0"/>
        <v>158.16833333333332</v>
      </c>
    </row>
    <row r="40" spans="1:4" ht="16.5" thickBot="1" x14ac:dyDescent="0.3">
      <c r="A40" s="194" t="s">
        <v>43</v>
      </c>
      <c r="B40" s="195"/>
      <c r="C40" s="8">
        <f>SUM(C32:C39)</f>
        <v>0.36800000000000005</v>
      </c>
      <c r="D40" s="14">
        <f>SUM(D32:D39)</f>
        <v>727.57433333333324</v>
      </c>
    </row>
    <row r="43" spans="1:4" x14ac:dyDescent="0.25">
      <c r="A43" s="196" t="s">
        <v>44</v>
      </c>
      <c r="B43" s="196"/>
      <c r="C43" s="196"/>
    </row>
    <row r="44" spans="1:4" ht="16.5" thickBot="1" x14ac:dyDescent="0.3">
      <c r="D44" s="16"/>
    </row>
    <row r="45" spans="1:4" ht="16.5" thickBot="1" x14ac:dyDescent="0.3">
      <c r="A45" s="3" t="s">
        <v>45</v>
      </c>
      <c r="B45" s="4" t="s">
        <v>46</v>
      </c>
      <c r="C45" s="4" t="s">
        <v>14</v>
      </c>
      <c r="D45" s="16"/>
    </row>
    <row r="46" spans="1:4" ht="16.5" thickBot="1" x14ac:dyDescent="0.3">
      <c r="A46" s="5" t="s">
        <v>15</v>
      </c>
      <c r="B46" s="6" t="s">
        <v>47</v>
      </c>
      <c r="C46" s="13">
        <f>((BENEFICIOS!B3*2)*22)-($C$9*0.06)</f>
        <v>164.685</v>
      </c>
      <c r="D46" s="16"/>
    </row>
    <row r="47" spans="1:4" ht="16.5" thickBot="1" x14ac:dyDescent="0.3">
      <c r="A47" s="5" t="s">
        <v>17</v>
      </c>
      <c r="B47" s="6" t="s">
        <v>48</v>
      </c>
      <c r="C47" s="13">
        <f>(BENEFICIOS!B4*22)-((BENEFICIOS!B4*22)*0.1)</f>
        <v>485.1</v>
      </c>
    </row>
    <row r="48" spans="1:4" ht="16.5" thickBot="1" x14ac:dyDescent="0.3">
      <c r="A48" s="5" t="s">
        <v>19</v>
      </c>
      <c r="B48" s="6" t="s">
        <v>85</v>
      </c>
      <c r="C48" s="13">
        <f>BENEFICIOS!B5</f>
        <v>180</v>
      </c>
    </row>
    <row r="49" spans="1:3" ht="16.5" thickBot="1" x14ac:dyDescent="0.3">
      <c r="A49" s="5" t="s">
        <v>21</v>
      </c>
      <c r="B49" s="6" t="s">
        <v>86</v>
      </c>
      <c r="C49" s="13">
        <f>BENEFICIOS!B6</f>
        <v>20</v>
      </c>
    </row>
    <row r="50" spans="1:3" ht="16.5" thickBot="1" x14ac:dyDescent="0.3">
      <c r="A50" s="27" t="s">
        <v>22</v>
      </c>
      <c r="B50" s="23" t="str">
        <f>BENEFICIOS!A7</f>
        <v>Plano odontologico</v>
      </c>
      <c r="C50" s="26">
        <f>BENEFICIOS!B7</f>
        <v>16</v>
      </c>
    </row>
    <row r="51" spans="1:3" ht="16.5" thickBot="1" x14ac:dyDescent="0.3">
      <c r="A51" s="27" t="s">
        <v>24</v>
      </c>
      <c r="B51" s="93" t="str">
        <f>BENEFICIOS!A8</f>
        <v>Programa de Qualificação Profissional</v>
      </c>
      <c r="C51" s="13">
        <f>BENEFICIOS!B8</f>
        <v>10</v>
      </c>
    </row>
    <row r="52" spans="1:3" ht="16.5" thickBot="1" x14ac:dyDescent="0.3">
      <c r="A52" s="194" t="s">
        <v>1</v>
      </c>
      <c r="B52" s="195"/>
      <c r="C52" s="13">
        <f>SUM(C46:C51)</f>
        <v>875.78500000000008</v>
      </c>
    </row>
    <row r="55" spans="1:3" x14ac:dyDescent="0.25">
      <c r="A55" s="196" t="s">
        <v>49</v>
      </c>
      <c r="B55" s="196"/>
      <c r="C55" s="196"/>
    </row>
    <row r="56" spans="1:3" ht="16.5" thickBot="1" x14ac:dyDescent="0.3"/>
    <row r="57" spans="1:3" ht="16.5" thickBot="1" x14ac:dyDescent="0.3">
      <c r="A57" s="3">
        <v>2</v>
      </c>
      <c r="B57" s="4" t="s">
        <v>50</v>
      </c>
      <c r="C57" s="4" t="s">
        <v>14</v>
      </c>
    </row>
    <row r="58" spans="1:3" ht="16.5" thickBot="1" x14ac:dyDescent="0.3">
      <c r="A58" s="5" t="s">
        <v>29</v>
      </c>
      <c r="B58" s="6" t="s">
        <v>30</v>
      </c>
      <c r="C58" s="14">
        <f>C26</f>
        <v>321.85416666666663</v>
      </c>
    </row>
    <row r="59" spans="1:3" ht="16.5" thickBot="1" x14ac:dyDescent="0.3">
      <c r="A59" s="5" t="s">
        <v>34</v>
      </c>
      <c r="B59" s="6" t="s">
        <v>35</v>
      </c>
      <c r="C59" s="14">
        <f>D40</f>
        <v>727.57433333333324</v>
      </c>
    </row>
    <row r="60" spans="1:3" ht="16.5" thickBot="1" x14ac:dyDescent="0.3">
      <c r="A60" s="5" t="s">
        <v>45</v>
      </c>
      <c r="B60" s="6" t="s">
        <v>46</v>
      </c>
      <c r="C60" s="14">
        <f>C52</f>
        <v>875.78500000000008</v>
      </c>
    </row>
    <row r="61" spans="1:3" ht="16.5" thickBot="1" x14ac:dyDescent="0.3">
      <c r="A61" s="194" t="s">
        <v>1</v>
      </c>
      <c r="B61" s="195"/>
      <c r="C61" s="14">
        <f>SUM(C58:C60)</f>
        <v>1925.2135000000001</v>
      </c>
    </row>
    <row r="62" spans="1:3" x14ac:dyDescent="0.25">
      <c r="A62" s="1"/>
    </row>
    <row r="64" spans="1:3" x14ac:dyDescent="0.25">
      <c r="A64" s="197" t="s">
        <v>51</v>
      </c>
      <c r="B64" s="197"/>
      <c r="C64" s="197"/>
    </row>
    <row r="65" spans="1:6" ht="16.5" thickBot="1" x14ac:dyDescent="0.3"/>
    <row r="66" spans="1:6" ht="16.5" thickBot="1" x14ac:dyDescent="0.3">
      <c r="A66" s="3">
        <v>3</v>
      </c>
      <c r="B66" s="67" t="s">
        <v>52</v>
      </c>
      <c r="C66" s="67" t="s">
        <v>131</v>
      </c>
      <c r="D66" s="67" t="s">
        <v>132</v>
      </c>
    </row>
    <row r="67" spans="1:6" ht="16.5" thickBot="1" x14ac:dyDescent="0.3">
      <c r="A67" s="5" t="s">
        <v>15</v>
      </c>
      <c r="B67" s="9" t="s">
        <v>53</v>
      </c>
      <c r="C67" s="68">
        <v>0.1</v>
      </c>
      <c r="D67" s="13">
        <f>C67*($C$16+$C$26+C52)</f>
        <v>285.28891666666669</v>
      </c>
      <c r="E67" s="17"/>
      <c r="F67" s="16"/>
    </row>
    <row r="68" spans="1:6" ht="16.5" thickBot="1" x14ac:dyDescent="0.3">
      <c r="A68" s="5" t="s">
        <v>17</v>
      </c>
      <c r="B68" s="9" t="s">
        <v>54</v>
      </c>
      <c r="C68" s="68">
        <v>6.7000000000000002E-3</v>
      </c>
      <c r="D68" s="13">
        <f>C68*($C$16+$C$26)</f>
        <v>13.246597916666666</v>
      </c>
      <c r="E68" s="17"/>
      <c r="F68" s="16"/>
    </row>
    <row r="69" spans="1:6" ht="16.5" thickBot="1" x14ac:dyDescent="0.3">
      <c r="A69" s="5" t="s">
        <v>19</v>
      </c>
      <c r="B69" s="9" t="s">
        <v>55</v>
      </c>
      <c r="C69" s="68">
        <v>2.6800000000000001E-3</v>
      </c>
      <c r="D69" s="13">
        <f>C69*($C$16+$C$26)</f>
        <v>5.2986391666666668</v>
      </c>
      <c r="E69" s="17"/>
      <c r="F69" s="16"/>
    </row>
    <row r="70" spans="1:6" ht="16.5" thickBot="1" x14ac:dyDescent="0.3">
      <c r="A70" s="5" t="s">
        <v>21</v>
      </c>
      <c r="B70" s="9" t="s">
        <v>56</v>
      </c>
      <c r="C70" s="68">
        <f>D70/(D40+C26+C16)</f>
        <v>1.9444444444444445E-2</v>
      </c>
      <c r="D70" s="13">
        <f>(((C16+C26+D40)/30)*7)/12</f>
        <v>52.590970833333337</v>
      </c>
      <c r="E70" s="17"/>
      <c r="F70" s="16"/>
    </row>
    <row r="71" spans="1:6" ht="16.5" thickBot="1" x14ac:dyDescent="0.3">
      <c r="A71" s="5" t="s">
        <v>22</v>
      </c>
      <c r="B71" s="9" t="s">
        <v>133</v>
      </c>
      <c r="C71" s="68">
        <f>D71/(C16+C26+D40)</f>
        <v>1.5555555555555557E-3</v>
      </c>
      <c r="D71" s="13">
        <f>D70*0.08</f>
        <v>4.2072776666666671</v>
      </c>
      <c r="E71" s="17"/>
      <c r="F71" s="82"/>
    </row>
    <row r="72" spans="1:6" ht="16.5" thickBot="1" x14ac:dyDescent="0.3">
      <c r="A72" s="5" t="s">
        <v>24</v>
      </c>
      <c r="B72" s="9" t="s">
        <v>57</v>
      </c>
      <c r="C72" s="68">
        <v>5.9999999999999995E-4</v>
      </c>
      <c r="D72" s="13">
        <f>D71*0.4</f>
        <v>1.6829110666666669</v>
      </c>
      <c r="E72" s="17"/>
      <c r="F72" s="82"/>
    </row>
    <row r="73" spans="1:6" ht="16.5" thickBot="1" x14ac:dyDescent="0.3">
      <c r="A73" s="5" t="s">
        <v>25</v>
      </c>
      <c r="B73" s="9" t="s">
        <v>109</v>
      </c>
      <c r="C73" s="68">
        <f>D73/(D40+C26+C16)</f>
        <v>2.3391812865497075E-2</v>
      </c>
      <c r="D73" s="13">
        <f>D39*0.4</f>
        <v>63.267333333333333</v>
      </c>
      <c r="F73" s="82"/>
    </row>
    <row r="74" spans="1:6" ht="16.5" thickBot="1" x14ac:dyDescent="0.3">
      <c r="A74" s="199" t="s">
        <v>1</v>
      </c>
      <c r="B74" s="200"/>
      <c r="C74" s="14"/>
      <c r="D74" s="14">
        <f>SUM(D67:D73)</f>
        <v>425.58264665000002</v>
      </c>
    </row>
    <row r="77" spans="1:6" x14ac:dyDescent="0.25">
      <c r="A77" s="197" t="s">
        <v>58</v>
      </c>
      <c r="B77" s="197"/>
      <c r="C77" s="197"/>
    </row>
    <row r="80" spans="1:6" x14ac:dyDescent="0.25">
      <c r="A80" s="196" t="s">
        <v>59</v>
      </c>
      <c r="B80" s="196"/>
      <c r="C80" s="196"/>
    </row>
    <row r="81" spans="1:6" ht="16.5" thickBot="1" x14ac:dyDescent="0.3">
      <c r="A81" s="2"/>
    </row>
    <row r="82" spans="1:6" ht="16.5" thickBot="1" x14ac:dyDescent="0.3">
      <c r="A82" s="3" t="s">
        <v>60</v>
      </c>
      <c r="B82" s="67" t="s">
        <v>61</v>
      </c>
      <c r="C82" s="67" t="s">
        <v>14</v>
      </c>
    </row>
    <row r="83" spans="1:6" ht="16.5" thickBot="1" x14ac:dyDescent="0.3">
      <c r="A83" s="5" t="s">
        <v>15</v>
      </c>
      <c r="B83" s="6" t="s">
        <v>2</v>
      </c>
      <c r="C83" s="13">
        <f>(C26*1.368)/12</f>
        <v>36.691375000000001</v>
      </c>
      <c r="D83" s="17"/>
      <c r="E83" s="16"/>
      <c r="F83" s="16"/>
    </row>
    <row r="84" spans="1:6" ht="16.5" thickBot="1" x14ac:dyDescent="0.3">
      <c r="A84" s="5" t="s">
        <v>17</v>
      </c>
      <c r="B84" s="6" t="s">
        <v>61</v>
      </c>
      <c r="C84" s="13">
        <f>(((($C$16+$C$61+$D$74)/30)*4.8739)/12)</f>
        <v>54.236300872659541</v>
      </c>
    </row>
    <row r="85" spans="1:6" ht="16.5" thickBot="1" x14ac:dyDescent="0.3">
      <c r="A85" s="5" t="s">
        <v>19</v>
      </c>
      <c r="B85" s="6" t="s">
        <v>62</v>
      </c>
      <c r="C85" s="13">
        <f>(((($C$16+$C$61+$D$74)/30)*0.1997)/12)</f>
        <v>2.2222428207944582</v>
      </c>
    </row>
    <row r="86" spans="1:6" ht="16.5" thickBot="1" x14ac:dyDescent="0.3">
      <c r="A86" s="5" t="s">
        <v>21</v>
      </c>
      <c r="B86" s="6" t="s">
        <v>63</v>
      </c>
      <c r="C86" s="13">
        <f>(((($C$16+$C$61+$D$74)/30)*0.9659)/12)</f>
        <v>10.748444369581208</v>
      </c>
    </row>
    <row r="87" spans="1:6" ht="16.5" thickBot="1" x14ac:dyDescent="0.3">
      <c r="A87" s="5" t="s">
        <v>22</v>
      </c>
      <c r="B87" s="6" t="s">
        <v>64</v>
      </c>
      <c r="C87" s="13">
        <f>(((($C$16+$C$61+$D$74)/30)*2.4753)/12)</f>
        <v>27.544905630007623</v>
      </c>
    </row>
    <row r="88" spans="1:6" ht="16.5" thickBot="1" x14ac:dyDescent="0.3">
      <c r="A88" s="5" t="s">
        <v>24</v>
      </c>
      <c r="B88" s="6" t="s">
        <v>26</v>
      </c>
      <c r="C88" s="7"/>
    </row>
    <row r="89" spans="1:6" ht="16.5" thickBot="1" x14ac:dyDescent="0.3">
      <c r="A89" s="194" t="s">
        <v>43</v>
      </c>
      <c r="B89" s="195"/>
      <c r="C89" s="14">
        <f>SUM(C83:C88)</f>
        <v>131.44326869304282</v>
      </c>
    </row>
    <row r="92" spans="1:6" x14ac:dyDescent="0.25">
      <c r="A92" s="196" t="s">
        <v>65</v>
      </c>
      <c r="B92" s="196"/>
      <c r="C92" s="196"/>
    </row>
    <row r="93" spans="1:6" ht="16.5" thickBot="1" x14ac:dyDescent="0.3">
      <c r="A93" s="2"/>
    </row>
    <row r="94" spans="1:6" ht="16.5" thickBot="1" x14ac:dyDescent="0.3">
      <c r="A94" s="3" t="s">
        <v>66</v>
      </c>
      <c r="B94" s="67" t="s">
        <v>67</v>
      </c>
      <c r="C94" s="67" t="s">
        <v>14</v>
      </c>
    </row>
    <row r="95" spans="1:6" ht="16.5" thickBot="1" x14ac:dyDescent="0.3">
      <c r="A95" s="5" t="s">
        <v>15</v>
      </c>
      <c r="B95" s="6" t="s">
        <v>84</v>
      </c>
      <c r="C95" s="7">
        <v>0</v>
      </c>
    </row>
    <row r="96" spans="1:6" ht="16.5" thickBot="1" x14ac:dyDescent="0.3">
      <c r="A96" s="194" t="s">
        <v>1</v>
      </c>
      <c r="B96" s="195"/>
      <c r="C96" s="7">
        <v>0</v>
      </c>
    </row>
    <row r="99" spans="1:5" x14ac:dyDescent="0.25">
      <c r="A99" s="196" t="s">
        <v>68</v>
      </c>
      <c r="B99" s="196"/>
      <c r="C99" s="196"/>
    </row>
    <row r="100" spans="1:5" ht="16.5" thickBot="1" x14ac:dyDescent="0.3">
      <c r="A100" s="2"/>
    </row>
    <row r="101" spans="1:5" ht="16.5" thickBot="1" x14ac:dyDescent="0.3">
      <c r="A101" s="3">
        <v>4</v>
      </c>
      <c r="B101" s="67" t="s">
        <v>69</v>
      </c>
      <c r="C101" s="67" t="s">
        <v>14</v>
      </c>
    </row>
    <row r="102" spans="1:5" ht="16.5" thickBot="1" x14ac:dyDescent="0.3">
      <c r="A102" s="5" t="s">
        <v>60</v>
      </c>
      <c r="B102" s="6" t="s">
        <v>61</v>
      </c>
      <c r="C102" s="13">
        <f>C89</f>
        <v>131.44326869304282</v>
      </c>
    </row>
    <row r="103" spans="1:5" ht="16.5" thickBot="1" x14ac:dyDescent="0.3">
      <c r="A103" s="5" t="s">
        <v>66</v>
      </c>
      <c r="B103" s="6" t="s">
        <v>67</v>
      </c>
      <c r="C103" s="13">
        <f>C96</f>
        <v>0</v>
      </c>
      <c r="E103" s="181"/>
    </row>
    <row r="104" spans="1:5" ht="16.5" thickBot="1" x14ac:dyDescent="0.3">
      <c r="A104" s="194" t="s">
        <v>1</v>
      </c>
      <c r="B104" s="195"/>
      <c r="C104" s="14">
        <f>SUM(C102:C103)</f>
        <v>131.44326869304282</v>
      </c>
      <c r="E104" s="181"/>
    </row>
    <row r="105" spans="1:5" x14ac:dyDescent="0.25">
      <c r="E105" s="181"/>
    </row>
    <row r="107" spans="1:5" x14ac:dyDescent="0.25">
      <c r="A107" s="197" t="s">
        <v>70</v>
      </c>
      <c r="B107" s="197"/>
      <c r="C107" s="197"/>
    </row>
    <row r="108" spans="1:5" ht="16.5" thickBot="1" x14ac:dyDescent="0.3"/>
    <row r="109" spans="1:5" ht="16.5" thickBot="1" x14ac:dyDescent="0.3">
      <c r="A109" s="3">
        <v>5</v>
      </c>
      <c r="B109" s="10" t="s">
        <v>7</v>
      </c>
      <c r="C109" s="67" t="s">
        <v>14</v>
      </c>
    </row>
    <row r="110" spans="1:5" ht="16.5" thickBot="1" x14ac:dyDescent="0.3">
      <c r="A110" s="5" t="s">
        <v>15</v>
      </c>
      <c r="B110" s="6" t="s">
        <v>71</v>
      </c>
      <c r="C110" s="13">
        <f>'Uniformes e utensilhos'!G25</f>
        <v>43.243750000000006</v>
      </c>
    </row>
    <row r="111" spans="1:5" ht="16.5" thickBot="1" x14ac:dyDescent="0.3">
      <c r="A111" s="5" t="s">
        <v>17</v>
      </c>
      <c r="B111" s="6" t="s">
        <v>129</v>
      </c>
      <c r="C111" s="13"/>
    </row>
    <row r="112" spans="1:5" ht="16.5" thickBot="1" x14ac:dyDescent="0.3">
      <c r="A112" s="5" t="s">
        <v>19</v>
      </c>
      <c r="B112" s="6" t="s">
        <v>73</v>
      </c>
      <c r="C112" s="14">
        <f>'Uniformes e utensilhos'!L41</f>
        <v>19.643533650000002</v>
      </c>
    </row>
    <row r="113" spans="1:7" ht="16.5" thickBot="1" x14ac:dyDescent="0.3">
      <c r="A113" s="5" t="s">
        <v>21</v>
      </c>
      <c r="B113" s="6" t="s">
        <v>134</v>
      </c>
      <c r="C113" s="13">
        <f>MATERIAIS!G87</f>
        <v>0</v>
      </c>
    </row>
    <row r="114" spans="1:7" ht="16.5" thickBot="1" x14ac:dyDescent="0.3">
      <c r="A114" s="194" t="s">
        <v>43</v>
      </c>
      <c r="B114" s="195"/>
      <c r="C114" s="13">
        <f>SUM(C110:C113)</f>
        <v>62.887283650000008</v>
      </c>
    </row>
    <row r="117" spans="1:7" x14ac:dyDescent="0.25">
      <c r="A117" s="197" t="s">
        <v>74</v>
      </c>
      <c r="B117" s="197"/>
      <c r="C117" s="197"/>
    </row>
    <row r="118" spans="1:7" ht="16.5" thickBot="1" x14ac:dyDescent="0.3"/>
    <row r="119" spans="1:7" ht="16.5" thickBot="1" x14ac:dyDescent="0.3">
      <c r="A119" s="3">
        <v>6</v>
      </c>
      <c r="B119" s="10" t="s">
        <v>8</v>
      </c>
      <c r="C119" s="67" t="s">
        <v>36</v>
      </c>
      <c r="D119" s="67" t="s">
        <v>14</v>
      </c>
    </row>
    <row r="120" spans="1:7" ht="16.5" thickBot="1" x14ac:dyDescent="0.3">
      <c r="A120" s="5" t="s">
        <v>15</v>
      </c>
      <c r="B120" s="6" t="s">
        <v>9</v>
      </c>
      <c r="C120" s="68">
        <f>0.05</f>
        <v>0.05</v>
      </c>
      <c r="D120" s="13">
        <f>($C$16+$C$61+$D$74+$C$104+$C$114)*C120</f>
        <v>210.01883494965219</v>
      </c>
    </row>
    <row r="121" spans="1:7" ht="16.5" thickBot="1" x14ac:dyDescent="0.3">
      <c r="A121" s="5" t="s">
        <v>17</v>
      </c>
      <c r="B121" s="6" t="s">
        <v>11</v>
      </c>
      <c r="C121" s="20">
        <v>5</v>
      </c>
      <c r="D121" s="14">
        <f>(C132+C133+C134+C135+C136+D120)*(C121/100)</f>
        <v>220.5197766971348</v>
      </c>
      <c r="F121" s="17"/>
      <c r="G121" s="79"/>
    </row>
    <row r="122" spans="1:7" ht="16.5" thickBot="1" x14ac:dyDescent="0.3">
      <c r="A122" s="5" t="s">
        <v>19</v>
      </c>
      <c r="B122" s="6" t="s">
        <v>10</v>
      </c>
      <c r="C122" s="7"/>
      <c r="D122" s="7"/>
      <c r="G122" s="81"/>
    </row>
    <row r="123" spans="1:7" ht="16.5" thickBot="1" x14ac:dyDescent="0.3">
      <c r="A123" s="5"/>
      <c r="B123" s="6" t="s">
        <v>88</v>
      </c>
      <c r="C123" s="13">
        <v>3.65</v>
      </c>
      <c r="D123" s="14">
        <f>((($C$137+$D$120+$D$121)/0.9135)*((C123)/100))</f>
        <v>185.03383561943494</v>
      </c>
    </row>
    <row r="124" spans="1:7" ht="16.5" thickBot="1" x14ac:dyDescent="0.3">
      <c r="A124" s="5"/>
      <c r="B124" s="6" t="s">
        <v>75</v>
      </c>
      <c r="C124" s="13"/>
      <c r="D124" s="7"/>
    </row>
    <row r="125" spans="1:7" ht="16.5" thickBot="1" x14ac:dyDescent="0.3">
      <c r="A125" s="5"/>
      <c r="B125" s="6" t="s">
        <v>89</v>
      </c>
      <c r="C125" s="13">
        <v>5</v>
      </c>
      <c r="D125" s="14">
        <f>((($C$137+$D$120+$D$121)/0.9135)*((C125)/100))</f>
        <v>253.47100769785612</v>
      </c>
    </row>
    <row r="126" spans="1:7" ht="16.5" thickBot="1" x14ac:dyDescent="0.3">
      <c r="A126" s="194" t="s">
        <v>43</v>
      </c>
      <c r="B126" s="195"/>
      <c r="C126" s="7"/>
      <c r="D126" s="14">
        <f>SUM(D120:D125)</f>
        <v>869.04345496407814</v>
      </c>
    </row>
    <row r="129" spans="1:7" x14ac:dyDescent="0.25">
      <c r="A129" s="197" t="s">
        <v>76</v>
      </c>
      <c r="B129" s="197"/>
      <c r="C129" s="197"/>
    </row>
    <row r="130" spans="1:7" ht="16.5" thickBot="1" x14ac:dyDescent="0.3"/>
    <row r="131" spans="1:7" ht="16.5" thickBot="1" x14ac:dyDescent="0.3">
      <c r="A131" s="3"/>
      <c r="B131" s="67" t="s">
        <v>77</v>
      </c>
      <c r="C131" s="67" t="s">
        <v>14</v>
      </c>
    </row>
    <row r="132" spans="1:7" ht="16.5" thickBot="1" x14ac:dyDescent="0.3">
      <c r="A132" s="12" t="s">
        <v>15</v>
      </c>
      <c r="B132" s="6" t="s">
        <v>12</v>
      </c>
      <c r="C132" s="19">
        <f>C16</f>
        <v>1655.25</v>
      </c>
    </row>
    <row r="133" spans="1:7" ht="16.5" thickBot="1" x14ac:dyDescent="0.3">
      <c r="A133" s="12" t="s">
        <v>17</v>
      </c>
      <c r="B133" s="6" t="s">
        <v>27</v>
      </c>
      <c r="C133" s="19">
        <f>C61</f>
        <v>1925.2135000000001</v>
      </c>
    </row>
    <row r="134" spans="1:7" ht="16.5" thickBot="1" x14ac:dyDescent="0.3">
      <c r="A134" s="12" t="s">
        <v>19</v>
      </c>
      <c r="B134" s="6" t="s">
        <v>51</v>
      </c>
      <c r="C134" s="19">
        <f>D74</f>
        <v>425.58264665000002</v>
      </c>
    </row>
    <row r="135" spans="1:7" ht="16.5" thickBot="1" x14ac:dyDescent="0.3">
      <c r="A135" s="12" t="s">
        <v>21</v>
      </c>
      <c r="B135" s="6" t="s">
        <v>58</v>
      </c>
      <c r="C135" s="19">
        <f>C104</f>
        <v>131.44326869304282</v>
      </c>
    </row>
    <row r="136" spans="1:7" ht="16.5" thickBot="1" x14ac:dyDescent="0.3">
      <c r="A136" s="12" t="s">
        <v>22</v>
      </c>
      <c r="B136" s="6" t="s">
        <v>70</v>
      </c>
      <c r="C136" s="19">
        <f>C114</f>
        <v>62.887283650000008</v>
      </c>
    </row>
    <row r="137" spans="1:7" ht="16.5" customHeight="1" thickBot="1" x14ac:dyDescent="0.3">
      <c r="A137" s="194" t="s">
        <v>78</v>
      </c>
      <c r="B137" s="195"/>
      <c r="C137" s="19">
        <f>SUM(C132:C136)</f>
        <v>4200.3766989930436</v>
      </c>
    </row>
    <row r="138" spans="1:7" ht="16.5" thickBot="1" x14ac:dyDescent="0.3">
      <c r="A138" s="12" t="s">
        <v>24</v>
      </c>
      <c r="B138" s="6" t="s">
        <v>79</v>
      </c>
      <c r="C138" s="19">
        <f>D126</f>
        <v>869.04345496407814</v>
      </c>
    </row>
    <row r="139" spans="1:7" ht="16.5" customHeight="1" thickBot="1" x14ac:dyDescent="0.3">
      <c r="A139" s="194" t="s">
        <v>80</v>
      </c>
      <c r="B139" s="195"/>
      <c r="C139" s="19">
        <f>C137+C138</f>
        <v>5069.4201539571222</v>
      </c>
      <c r="G139" s="31"/>
    </row>
    <row r="140" spans="1:7" x14ac:dyDescent="0.25">
      <c r="C140" s="16"/>
      <c r="G140" s="31"/>
    </row>
    <row r="141" spans="1:7" x14ac:dyDescent="0.25">
      <c r="G141" s="31"/>
    </row>
    <row r="143" spans="1:7" x14ac:dyDescent="0.25">
      <c r="C143" s="16"/>
    </row>
  </sheetData>
  <mergeCells count="30">
    <mergeCell ref="A1:D1"/>
    <mergeCell ref="A2:D2"/>
    <mergeCell ref="A114:B114"/>
    <mergeCell ref="A107:C107"/>
    <mergeCell ref="A126:B126"/>
    <mergeCell ref="A117:C117"/>
    <mergeCell ref="A52:B52"/>
    <mergeCell ref="A43:C43"/>
    <mergeCell ref="A61:B61"/>
    <mergeCell ref="A55:C55"/>
    <mergeCell ref="A74:B74"/>
    <mergeCell ref="A64:C64"/>
    <mergeCell ref="A16:B16"/>
    <mergeCell ref="A6:C6"/>
    <mergeCell ref="A26:B26"/>
    <mergeCell ref="A19:C19"/>
    <mergeCell ref="A139:B139"/>
    <mergeCell ref="A129:C129"/>
    <mergeCell ref="A77:C77"/>
    <mergeCell ref="A89:B89"/>
    <mergeCell ref="A80:C80"/>
    <mergeCell ref="A96:B96"/>
    <mergeCell ref="A92:C92"/>
    <mergeCell ref="A104:B104"/>
    <mergeCell ref="A99:C99"/>
    <mergeCell ref="A3:D3"/>
    <mergeCell ref="A21:C21"/>
    <mergeCell ref="A40:B40"/>
    <mergeCell ref="A29:D29"/>
    <mergeCell ref="A137:B137"/>
  </mergeCells>
  <pageMargins left="0.511811024" right="0.511811024" top="0.78740157499999996" bottom="0.78740157499999996" header="0.31496062000000002" footer="0.31496062000000002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showGridLines="0" zoomScale="55" zoomScaleNormal="55" zoomScaleSheetLayoutView="70" workbookViewId="0">
      <selection activeCell="AC21" sqref="AC21"/>
    </sheetView>
  </sheetViews>
  <sheetFormatPr defaultColWidth="9.140625" defaultRowHeight="12.75" x14ac:dyDescent="0.25"/>
  <cols>
    <col min="1" max="1" width="16.140625" style="48" customWidth="1"/>
    <col min="2" max="2" width="63.140625" style="48" customWidth="1"/>
    <col min="3" max="3" width="19.7109375" style="48" customWidth="1"/>
    <col min="4" max="4" width="20" style="48" customWidth="1"/>
    <col min="5" max="5" width="26.7109375" style="48" customWidth="1"/>
    <col min="6" max="6" width="20.85546875" style="48" customWidth="1"/>
    <col min="7" max="7" width="30.42578125" style="48" customWidth="1"/>
    <col min="8" max="8" width="26.28515625" style="48" customWidth="1"/>
    <col min="9" max="9" width="27.140625" style="48" customWidth="1"/>
    <col min="10" max="10" width="44.85546875" style="48" bestFit="1" customWidth="1"/>
    <col min="11" max="11" width="16.140625" style="48" customWidth="1"/>
    <col min="12" max="12" width="16" style="48" customWidth="1"/>
    <col min="13" max="16384" width="9.140625" style="48"/>
  </cols>
  <sheetData>
    <row r="1" spans="1:14" ht="18" x14ac:dyDescent="0.25">
      <c r="A1" s="208" t="s">
        <v>269</v>
      </c>
      <c r="B1" s="208"/>
      <c r="C1" s="208"/>
      <c r="D1" s="208"/>
      <c r="E1" s="208"/>
      <c r="F1" s="208"/>
      <c r="G1" s="208"/>
      <c r="H1" s="208"/>
      <c r="I1" s="208"/>
    </row>
    <row r="3" spans="1:14" ht="33" customHeight="1" thickBot="1" x14ac:dyDescent="0.25">
      <c r="A3" s="209" t="s">
        <v>247</v>
      </c>
      <c r="B3" s="210"/>
      <c r="C3" s="210"/>
      <c r="D3" s="210"/>
      <c r="E3" s="210"/>
      <c r="F3" s="210"/>
      <c r="G3" s="211"/>
    </row>
    <row r="4" spans="1:14" ht="33" customHeight="1" thickTop="1" x14ac:dyDescent="0.25">
      <c r="A4" s="49" t="s">
        <v>112</v>
      </c>
      <c r="B4" s="49" t="s">
        <v>113</v>
      </c>
      <c r="C4" s="49" t="s">
        <v>122</v>
      </c>
      <c r="D4" s="49" t="s">
        <v>123</v>
      </c>
      <c r="E4" s="49" t="s">
        <v>124</v>
      </c>
      <c r="F4" s="49" t="s">
        <v>125</v>
      </c>
      <c r="G4" s="49" t="s">
        <v>126</v>
      </c>
    </row>
    <row r="5" spans="1:14" ht="30" x14ac:dyDescent="0.2">
      <c r="A5" s="50">
        <v>1</v>
      </c>
      <c r="B5" s="109" t="s">
        <v>233</v>
      </c>
      <c r="C5" s="107" t="s">
        <v>114</v>
      </c>
      <c r="D5" s="49">
        <v>4</v>
      </c>
      <c r="E5" s="112">
        <v>48</v>
      </c>
      <c r="F5" s="51">
        <f>(Tabela35[[#This Row],[Valor Unitário]]*Tabela35[[#This Row],[QTD]])/12</f>
        <v>16</v>
      </c>
      <c r="G5" s="51">
        <f>Tabela35[[#This Row],[Valor Unitário]]*Tabela35[[#This Row],[QTD]]</f>
        <v>192</v>
      </c>
      <c r="J5" s="52"/>
    </row>
    <row r="6" spans="1:14" ht="45" x14ac:dyDescent="0.2">
      <c r="A6" s="50">
        <v>2</v>
      </c>
      <c r="B6" s="103" t="s">
        <v>234</v>
      </c>
      <c r="C6" s="107" t="s">
        <v>114</v>
      </c>
      <c r="D6" s="49">
        <v>4</v>
      </c>
      <c r="E6" s="112">
        <v>34.450000000000003</v>
      </c>
      <c r="F6" s="51">
        <f>(Tabela35[[#This Row],[Valor Unitário]]*Tabela35[[#This Row],[QTD]])/12</f>
        <v>11.483333333333334</v>
      </c>
      <c r="G6" s="51">
        <f>Tabela35[[#This Row],[Valor Unitário]]*Tabela35[[#This Row],[QTD]]</f>
        <v>137.80000000000001</v>
      </c>
    </row>
    <row r="7" spans="1:14" ht="33" customHeight="1" x14ac:dyDescent="0.2">
      <c r="A7" s="50">
        <v>3</v>
      </c>
      <c r="B7" s="103" t="s">
        <v>235</v>
      </c>
      <c r="C7" s="107" t="s">
        <v>127</v>
      </c>
      <c r="D7" s="49">
        <v>4</v>
      </c>
      <c r="E7" s="112">
        <v>7.25</v>
      </c>
      <c r="F7" s="51">
        <f>(Tabela35[[#This Row],[Valor Unitário]]*Tabela35[[#This Row],[QTD]])/12</f>
        <v>2.4166666666666665</v>
      </c>
      <c r="G7" s="51">
        <f>Tabela35[[#This Row],[Valor Unitário]]*Tabela35[[#This Row],[QTD]]</f>
        <v>29</v>
      </c>
      <c r="I7" s="57"/>
      <c r="N7" s="53"/>
    </row>
    <row r="8" spans="1:14" ht="30" x14ac:dyDescent="0.2">
      <c r="A8" s="50">
        <v>4</v>
      </c>
      <c r="B8" s="110" t="s">
        <v>236</v>
      </c>
      <c r="C8" s="107" t="s">
        <v>127</v>
      </c>
      <c r="D8" s="49">
        <v>2</v>
      </c>
      <c r="E8" s="112">
        <v>49.33</v>
      </c>
      <c r="F8" s="51">
        <f>(Tabela35[[#This Row],[Valor Unitário]]*Tabela35[[#This Row],[QTD]])/12</f>
        <v>8.2216666666666658</v>
      </c>
      <c r="G8" s="51">
        <f>Tabela35[[#This Row],[Valor Unitário]]*Tabela35[[#This Row],[QTD]]</f>
        <v>98.66</v>
      </c>
      <c r="N8" s="53"/>
    </row>
    <row r="9" spans="1:14" ht="15" x14ac:dyDescent="0.2">
      <c r="A9" s="50">
        <v>5</v>
      </c>
      <c r="B9" s="110" t="s">
        <v>237</v>
      </c>
      <c r="C9" s="111" t="s">
        <v>114</v>
      </c>
      <c r="D9" s="49">
        <v>1</v>
      </c>
      <c r="E9" s="112">
        <v>6.61</v>
      </c>
      <c r="F9" s="51">
        <f>(Tabela35[[#This Row],[Valor Unitário]]*Tabela35[[#This Row],[QTD]])/12</f>
        <v>0.5508333333333334</v>
      </c>
      <c r="G9" s="51">
        <f>Tabela35[[#This Row],[Valor Unitário]]*Tabela35[[#This Row],[QTD]]</f>
        <v>6.61</v>
      </c>
    </row>
    <row r="10" spans="1:14" ht="15" x14ac:dyDescent="0.2">
      <c r="A10" s="50">
        <v>6</v>
      </c>
      <c r="B10" s="110" t="s">
        <v>128</v>
      </c>
      <c r="C10" s="111" t="s">
        <v>114</v>
      </c>
      <c r="D10" s="49">
        <v>1</v>
      </c>
      <c r="E10" s="112">
        <v>20.399999999999999</v>
      </c>
      <c r="F10" s="51">
        <f>(Tabela35[[#This Row],[Valor Unitário]]*Tabela35[[#This Row],[QTD]])/12</f>
        <v>1.7</v>
      </c>
      <c r="G10" s="51">
        <f>Tabela35[[#This Row],[Valor Unitário]]*Tabela35[[#This Row],[QTD]]</f>
        <v>20.399999999999999</v>
      </c>
    </row>
    <row r="11" spans="1:14" ht="33" customHeight="1" x14ac:dyDescent="0.25">
      <c r="A11" s="54" t="s">
        <v>6</v>
      </c>
      <c r="B11" s="54"/>
      <c r="C11" s="55"/>
      <c r="D11" s="55">
        <f>SUBTOTAL(109,D5:D10)</f>
        <v>16</v>
      </c>
      <c r="E11" s="54"/>
      <c r="F11" s="56">
        <f>SUM(F5:F10)</f>
        <v>40.372500000000009</v>
      </c>
      <c r="G11" s="56">
        <f>SUBTOTAL(109,G5:G10)</f>
        <v>484.47</v>
      </c>
    </row>
    <row r="12" spans="1:14" s="92" customFormat="1" ht="33" customHeight="1" x14ac:dyDescent="0.25">
      <c r="A12" s="54"/>
      <c r="B12" s="54"/>
      <c r="C12" s="55"/>
      <c r="D12" s="55"/>
      <c r="E12" s="54"/>
      <c r="F12" s="56"/>
      <c r="G12" s="56"/>
    </row>
    <row r="13" spans="1:14" s="92" customFormat="1" ht="33" customHeight="1" thickBot="1" x14ac:dyDescent="0.25">
      <c r="A13" s="209" t="s">
        <v>246</v>
      </c>
      <c r="B13" s="210"/>
      <c r="C13" s="210"/>
      <c r="D13" s="210"/>
      <c r="E13" s="210"/>
      <c r="F13" s="210"/>
      <c r="G13" s="211"/>
    </row>
    <row r="14" spans="1:14" s="92" customFormat="1" ht="33" customHeight="1" thickTop="1" x14ac:dyDescent="0.25">
      <c r="A14" s="54" t="s">
        <v>112</v>
      </c>
      <c r="B14" s="54" t="s">
        <v>113</v>
      </c>
      <c r="C14" s="55" t="s">
        <v>114</v>
      </c>
      <c r="D14" s="55" t="s">
        <v>238</v>
      </c>
      <c r="E14" s="54" t="s">
        <v>239</v>
      </c>
      <c r="F14" s="56" t="s">
        <v>249</v>
      </c>
      <c r="G14" s="56" t="s">
        <v>240</v>
      </c>
    </row>
    <row r="15" spans="1:14" s="92" customFormat="1" ht="33" customHeight="1" x14ac:dyDescent="0.25">
      <c r="A15" s="114">
        <v>1</v>
      </c>
      <c r="B15" s="114" t="s">
        <v>233</v>
      </c>
      <c r="C15" s="115" t="s">
        <v>114</v>
      </c>
      <c r="D15" s="115">
        <v>48</v>
      </c>
      <c r="E15" s="114">
        <v>4</v>
      </c>
      <c r="F15" s="116">
        <f>(Tabela5[[#This Row],[QTDE.
ANUAL]]*Tabela5[[#This Row],[PREÇO MÉDIO ESTIMADO
UNIT. (R$)]])/12</f>
        <v>16</v>
      </c>
      <c r="G15" s="116">
        <f>Tabela5[[#This Row],[QTDE.
ANUAL]]*Tabela5[[#This Row],[PREÇO MÉDIO ESTIMADO
UNIT. (R$)]]</f>
        <v>192</v>
      </c>
    </row>
    <row r="16" spans="1:14" s="92" customFormat="1" ht="33" customHeight="1" x14ac:dyDescent="0.25">
      <c r="A16" s="114">
        <v>2</v>
      </c>
      <c r="B16" s="114" t="s">
        <v>241</v>
      </c>
      <c r="C16" s="115" t="s">
        <v>114</v>
      </c>
      <c r="D16" s="115">
        <v>34.450000000000003</v>
      </c>
      <c r="E16" s="114">
        <v>4</v>
      </c>
      <c r="F16" s="116">
        <f>(Tabela5[[#This Row],[QTDE.
ANUAL]]*Tabela5[[#This Row],[PREÇO MÉDIO ESTIMADO
UNIT. (R$)]])/12</f>
        <v>11.483333333333334</v>
      </c>
      <c r="G16" s="116">
        <f>Tabela5[[#This Row],[QTDE.
ANUAL]]*Tabela5[[#This Row],[PREÇO MÉDIO ESTIMADO
UNIT. (R$)]]</f>
        <v>137.80000000000001</v>
      </c>
    </row>
    <row r="17" spans="1:12" s="92" customFormat="1" ht="33" customHeight="1" x14ac:dyDescent="0.25">
      <c r="A17" s="114">
        <v>3</v>
      </c>
      <c r="B17" s="114" t="s">
        <v>235</v>
      </c>
      <c r="C17" s="115" t="s">
        <v>127</v>
      </c>
      <c r="D17" s="115">
        <v>7.25</v>
      </c>
      <c r="E17" s="114">
        <v>4</v>
      </c>
      <c r="F17" s="116">
        <f>(Tabela5[[#This Row],[QTDE.
ANUAL]]*Tabela5[[#This Row],[PREÇO MÉDIO ESTIMADO
UNIT. (R$)]])/12</f>
        <v>2.4166666666666665</v>
      </c>
      <c r="G17" s="116">
        <f>Tabela5[[#This Row],[QTDE.
ANUAL]]*Tabela5[[#This Row],[PREÇO MÉDIO ESTIMADO
UNIT. (R$)]]</f>
        <v>29</v>
      </c>
    </row>
    <row r="18" spans="1:12" s="92" customFormat="1" ht="33" customHeight="1" x14ac:dyDescent="0.25">
      <c r="A18" s="114">
        <v>4</v>
      </c>
      <c r="B18" s="114" t="s">
        <v>242</v>
      </c>
      <c r="C18" s="115" t="s">
        <v>127</v>
      </c>
      <c r="D18" s="115">
        <v>49.33</v>
      </c>
      <c r="E18" s="114">
        <v>2</v>
      </c>
      <c r="F18" s="116">
        <f>(Tabela5[[#This Row],[QTDE.
ANUAL]]*Tabela5[[#This Row],[PREÇO MÉDIO ESTIMADO
UNIT. (R$)]])/12</f>
        <v>8.2216666666666658</v>
      </c>
      <c r="G18" s="116">
        <f>Tabela5[[#This Row],[QTDE.
ANUAL]]*Tabela5[[#This Row],[PREÇO MÉDIO ESTIMADO
UNIT. (R$)]]</f>
        <v>98.66</v>
      </c>
    </row>
    <row r="19" spans="1:12" s="92" customFormat="1" ht="33" customHeight="1" x14ac:dyDescent="0.25">
      <c r="A19" s="114">
        <v>5</v>
      </c>
      <c r="B19" s="114" t="s">
        <v>237</v>
      </c>
      <c r="C19" s="115" t="s">
        <v>114</v>
      </c>
      <c r="D19" s="115">
        <v>6.61</v>
      </c>
      <c r="E19" s="114">
        <v>1</v>
      </c>
      <c r="F19" s="116">
        <f>(Tabela5[[#This Row],[QTDE.
ANUAL]]*Tabela5[[#This Row],[PREÇO MÉDIO ESTIMADO
UNIT. (R$)]])/12</f>
        <v>0.5508333333333334</v>
      </c>
      <c r="G19" s="116">
        <f>Tabela5[[#This Row],[QTDE.
ANUAL]]*Tabela5[[#This Row],[PREÇO MÉDIO ESTIMADO
UNIT. (R$)]]</f>
        <v>6.61</v>
      </c>
    </row>
    <row r="20" spans="1:12" s="92" customFormat="1" ht="33" customHeight="1" x14ac:dyDescent="0.25">
      <c r="A20" s="114">
        <v>6</v>
      </c>
      <c r="B20" s="114" t="s">
        <v>128</v>
      </c>
      <c r="C20" s="115" t="s">
        <v>114</v>
      </c>
      <c r="D20" s="115">
        <v>20.399999999999999</v>
      </c>
      <c r="E20" s="114">
        <v>1</v>
      </c>
      <c r="F20" s="116">
        <f>(Tabela5[[#This Row],[QTDE.
ANUAL]]*Tabela5[[#This Row],[PREÇO MÉDIO ESTIMADO
UNIT. (R$)]])/12</f>
        <v>1.7</v>
      </c>
      <c r="G20" s="116">
        <f>Tabela5[[#This Row],[QTDE.
ANUAL]]*Tabela5[[#This Row],[PREÇO MÉDIO ESTIMADO
UNIT. (R$)]]</f>
        <v>20.399999999999999</v>
      </c>
    </row>
    <row r="21" spans="1:12" s="92" customFormat="1" ht="33" customHeight="1" x14ac:dyDescent="0.25">
      <c r="A21" s="114">
        <v>7</v>
      </c>
      <c r="B21" s="114" t="s">
        <v>243</v>
      </c>
      <c r="C21" s="115" t="s">
        <v>127</v>
      </c>
      <c r="D21" s="115">
        <v>29.75</v>
      </c>
      <c r="E21" s="114">
        <v>2</v>
      </c>
      <c r="F21" s="116">
        <f>(Tabela5[[#This Row],[QTDE.
ANUAL]]*Tabela5[[#This Row],[PREÇO MÉDIO ESTIMADO
UNIT. (R$)]])/12</f>
        <v>4.958333333333333</v>
      </c>
      <c r="G21" s="116">
        <f>Tabela5[[#This Row],[QTDE.
ANUAL]]*Tabela5[[#This Row],[PREÇO MÉDIO ESTIMADO
UNIT. (R$)]]</f>
        <v>59.5</v>
      </c>
    </row>
    <row r="22" spans="1:12" s="92" customFormat="1" ht="33" customHeight="1" x14ac:dyDescent="0.25">
      <c r="A22" s="114">
        <v>8</v>
      </c>
      <c r="B22" s="114" t="s">
        <v>244</v>
      </c>
      <c r="C22" s="115" t="s">
        <v>114</v>
      </c>
      <c r="D22" s="115">
        <v>47.05</v>
      </c>
      <c r="E22" s="114">
        <v>0.2</v>
      </c>
      <c r="F22" s="116">
        <f>(Tabela5[[#This Row],[QTDE.
ANUAL]]*Tabela5[[#This Row],[PREÇO MÉDIO ESTIMADO
UNIT. (R$)]])/12</f>
        <v>0.78416666666666668</v>
      </c>
      <c r="G22" s="116">
        <f>Tabela5[[#This Row],[QTDE.
ANUAL]]*Tabela5[[#This Row],[PREÇO MÉDIO ESTIMADO
UNIT. (R$)]]</f>
        <v>9.41</v>
      </c>
    </row>
    <row r="23" spans="1:12" ht="15.75" x14ac:dyDescent="0.25">
      <c r="A23" s="117" t="s">
        <v>245</v>
      </c>
      <c r="B23" s="117"/>
      <c r="C23" s="117"/>
      <c r="D23" s="117"/>
      <c r="E23" s="117"/>
      <c r="F23" s="118">
        <f>SUBTOTAL(109,F15:F22)</f>
        <v>46.115000000000009</v>
      </c>
      <c r="G23" s="119">
        <f>SUBTOTAL(109,G15:G22)</f>
        <v>553.38</v>
      </c>
    </row>
    <row r="24" spans="1:12" x14ac:dyDescent="0.25">
      <c r="A24" s="204"/>
      <c r="B24" s="204"/>
      <c r="C24" s="204"/>
      <c r="D24" s="204"/>
      <c r="E24" s="204"/>
      <c r="F24" s="204"/>
      <c r="G24" s="204"/>
      <c r="H24" s="204"/>
      <c r="I24" s="204"/>
    </row>
    <row r="25" spans="1:12" s="92" customFormat="1" ht="48" customHeight="1" x14ac:dyDescent="0.25">
      <c r="A25" s="212" t="s">
        <v>248</v>
      </c>
      <c r="B25" s="213"/>
      <c r="C25" s="213"/>
      <c r="D25" s="213"/>
      <c r="E25" s="213"/>
      <c r="F25" s="214"/>
      <c r="G25" s="120">
        <f>(F11+F23)/2</f>
        <v>43.243750000000006</v>
      </c>
    </row>
    <row r="26" spans="1:12" s="92" customFormat="1" x14ac:dyDescent="0.25"/>
    <row r="30" spans="1:12" x14ac:dyDescent="0.25">
      <c r="A30" s="204"/>
      <c r="B30" s="204"/>
      <c r="C30" s="204"/>
      <c r="D30" s="204"/>
      <c r="E30" s="204"/>
      <c r="F30" s="204"/>
      <c r="G30" s="204"/>
      <c r="H30" s="204"/>
      <c r="I30" s="204"/>
      <c r="J30" s="205"/>
      <c r="K30" s="117"/>
      <c r="L30" s="117"/>
    </row>
    <row r="31" spans="1:12" ht="15" x14ac:dyDescent="0.25">
      <c r="A31" s="206"/>
      <c r="B31" s="206"/>
      <c r="C31" s="206"/>
      <c r="D31" s="206"/>
      <c r="E31" s="206"/>
      <c r="F31" s="206"/>
      <c r="G31" s="206"/>
      <c r="H31" s="206"/>
      <c r="I31" s="206"/>
      <c r="J31" s="207"/>
      <c r="K31" s="154">
        <v>12</v>
      </c>
      <c r="L31" s="155">
        <v>7.1999999999999998E-3</v>
      </c>
    </row>
    <row r="32" spans="1:12" ht="75" x14ac:dyDescent="0.25">
      <c r="A32" s="113" t="s">
        <v>112</v>
      </c>
      <c r="B32" s="123" t="s">
        <v>113</v>
      </c>
      <c r="C32" s="124" t="s">
        <v>257</v>
      </c>
      <c r="D32" s="124" t="s">
        <v>258</v>
      </c>
      <c r="E32" s="124" t="s">
        <v>259</v>
      </c>
      <c r="F32" s="125" t="s">
        <v>260</v>
      </c>
      <c r="G32" s="126" t="s">
        <v>261</v>
      </c>
      <c r="H32" s="125" t="s">
        <v>262</v>
      </c>
      <c r="I32" s="126" t="s">
        <v>263</v>
      </c>
      <c r="J32" s="127" t="s">
        <v>264</v>
      </c>
      <c r="K32" s="126" t="s">
        <v>265</v>
      </c>
      <c r="L32" s="126" t="s">
        <v>266</v>
      </c>
    </row>
    <row r="33" spans="1:12" ht="30" x14ac:dyDescent="0.25">
      <c r="A33" s="128">
        <v>1</v>
      </c>
      <c r="B33" s="103" t="s">
        <v>250</v>
      </c>
      <c r="C33" s="129">
        <v>8451</v>
      </c>
      <c r="D33" s="129">
        <v>10</v>
      </c>
      <c r="E33" s="130">
        <v>0.1</v>
      </c>
      <c r="F33" s="122">
        <v>2479</v>
      </c>
      <c r="G33" s="131">
        <v>3</v>
      </c>
      <c r="H33" s="132">
        <f>E33*F33</f>
        <v>247.9</v>
      </c>
      <c r="I33" s="133">
        <f>((F33-H33)/D33)*G33</f>
        <v>669.32999999999993</v>
      </c>
      <c r="J33" s="133">
        <f>I33/12</f>
        <v>55.777499999999996</v>
      </c>
      <c r="K33" s="134">
        <f>(F33*G33)*$L$31</f>
        <v>53.546399999999998</v>
      </c>
      <c r="L33" s="134">
        <f>J33+K33</f>
        <v>109.32389999999999</v>
      </c>
    </row>
    <row r="34" spans="1:12" ht="45" x14ac:dyDescent="0.25">
      <c r="A34" s="135">
        <v>2</v>
      </c>
      <c r="B34" s="103" t="s">
        <v>251</v>
      </c>
      <c r="C34" s="129">
        <v>8451</v>
      </c>
      <c r="D34" s="129">
        <v>10</v>
      </c>
      <c r="E34" s="130">
        <v>0.1</v>
      </c>
      <c r="F34" s="122">
        <v>1801.4</v>
      </c>
      <c r="G34" s="131">
        <v>4</v>
      </c>
      <c r="H34" s="132">
        <f>E34*F34</f>
        <v>180.14000000000001</v>
      </c>
      <c r="I34" s="133">
        <f>((F34-H34)/D34)*G34</f>
        <v>648.50400000000002</v>
      </c>
      <c r="J34" s="133">
        <f>I34/12</f>
        <v>54.042000000000002</v>
      </c>
      <c r="K34" s="134">
        <f t="shared" ref="K34:K39" si="0">(F34*G34)*$L$31</f>
        <v>51.880320000000005</v>
      </c>
      <c r="L34" s="134">
        <f>J34+K34</f>
        <v>105.92232000000001</v>
      </c>
    </row>
    <row r="35" spans="1:12" ht="30" x14ac:dyDescent="0.25">
      <c r="A35" s="135">
        <v>3</v>
      </c>
      <c r="B35" s="121" t="s">
        <v>252</v>
      </c>
      <c r="C35" s="129">
        <v>8437</v>
      </c>
      <c r="D35" s="129">
        <v>10</v>
      </c>
      <c r="E35" s="130">
        <v>0.1</v>
      </c>
      <c r="F35" s="122">
        <v>1430.9</v>
      </c>
      <c r="G35" s="131">
        <v>2</v>
      </c>
      <c r="H35" s="132">
        <f>E35*F35</f>
        <v>143.09</v>
      </c>
      <c r="I35" s="133">
        <f>((F35-H35)/D35)*G35</f>
        <v>257.56200000000001</v>
      </c>
      <c r="J35" s="133">
        <f>I35/12</f>
        <v>21.4635</v>
      </c>
      <c r="K35" s="134">
        <f t="shared" si="0"/>
        <v>20.604960000000002</v>
      </c>
      <c r="L35" s="134">
        <f>J35+K35</f>
        <v>42.068460000000002</v>
      </c>
    </row>
    <row r="36" spans="1:12" ht="15" x14ac:dyDescent="0.25">
      <c r="A36" s="135"/>
      <c r="B36" s="121" t="s">
        <v>253</v>
      </c>
      <c r="C36" s="129"/>
      <c r="D36" s="129">
        <v>10</v>
      </c>
      <c r="E36" s="130">
        <v>0.1</v>
      </c>
      <c r="F36" s="122">
        <v>490</v>
      </c>
      <c r="G36" s="131">
        <v>3</v>
      </c>
      <c r="H36" s="132">
        <f>F36*0.1</f>
        <v>49</v>
      </c>
      <c r="I36" s="133">
        <f>(F36-H36)*0.1</f>
        <v>44.1</v>
      </c>
      <c r="J36" s="133">
        <f t="shared" ref="J36:J38" si="1">I36/12</f>
        <v>3.6750000000000003</v>
      </c>
      <c r="K36" s="134">
        <f t="shared" si="0"/>
        <v>10.584</v>
      </c>
      <c r="L36" s="134">
        <f t="shared" ref="L36:L38" si="2">J36+K36</f>
        <v>14.259</v>
      </c>
    </row>
    <row r="37" spans="1:12" ht="15" x14ac:dyDescent="0.25">
      <c r="A37" s="135"/>
      <c r="B37" s="121" t="s">
        <v>254</v>
      </c>
      <c r="C37" s="129"/>
      <c r="D37" s="129"/>
      <c r="E37" s="130"/>
      <c r="F37" s="122">
        <v>399.54</v>
      </c>
      <c r="G37" s="131">
        <v>3</v>
      </c>
      <c r="H37" s="132">
        <f t="shared" ref="H37:H38" si="3">F37*0.1</f>
        <v>39.954000000000008</v>
      </c>
      <c r="I37" s="133">
        <f t="shared" ref="I37:I38" si="4">(F37-H37)*0.1</f>
        <v>35.958600000000004</v>
      </c>
      <c r="J37" s="133">
        <f t="shared" si="1"/>
        <v>2.9965500000000005</v>
      </c>
      <c r="K37" s="134">
        <f t="shared" si="0"/>
        <v>8.6300640000000008</v>
      </c>
      <c r="L37" s="134">
        <f t="shared" si="2"/>
        <v>11.626614000000002</v>
      </c>
    </row>
    <row r="38" spans="1:12" ht="15" x14ac:dyDescent="0.25">
      <c r="A38" s="135"/>
      <c r="B38" s="121" t="s">
        <v>255</v>
      </c>
      <c r="C38" s="129"/>
      <c r="D38" s="129"/>
      <c r="E38" s="130"/>
      <c r="F38" s="122">
        <v>985.07</v>
      </c>
      <c r="G38" s="131">
        <v>1</v>
      </c>
      <c r="H38" s="132">
        <f t="shared" si="3"/>
        <v>98.507000000000005</v>
      </c>
      <c r="I38" s="133">
        <f t="shared" si="4"/>
        <v>88.656300000000016</v>
      </c>
      <c r="J38" s="133">
        <f t="shared" si="1"/>
        <v>7.3880250000000016</v>
      </c>
      <c r="K38" s="134">
        <f t="shared" si="0"/>
        <v>7.0925039999999999</v>
      </c>
      <c r="L38" s="134">
        <f t="shared" si="2"/>
        <v>14.480529000000001</v>
      </c>
    </row>
    <row r="39" spans="1:12" ht="30" x14ac:dyDescent="0.25">
      <c r="A39" s="129">
        <v>4</v>
      </c>
      <c r="B39" s="121" t="s">
        <v>256</v>
      </c>
      <c r="C39" s="129"/>
      <c r="D39" s="129">
        <v>10</v>
      </c>
      <c r="E39" s="130">
        <v>0.1</v>
      </c>
      <c r="F39" s="122">
        <v>6475.5</v>
      </c>
      <c r="G39" s="131">
        <v>1</v>
      </c>
      <c r="H39" s="132">
        <f>F39*0.1</f>
        <v>647.55000000000007</v>
      </c>
      <c r="I39" s="133">
        <f>((F39-H39)/D39)*G39</f>
        <v>582.79499999999996</v>
      </c>
      <c r="J39" s="133">
        <f>I39/12</f>
        <v>48.566249999999997</v>
      </c>
      <c r="K39" s="134">
        <f t="shared" si="0"/>
        <v>46.623599999999996</v>
      </c>
      <c r="L39" s="134">
        <f>J39+K39</f>
        <v>95.189849999999993</v>
      </c>
    </row>
    <row r="40" spans="1:12" ht="15" x14ac:dyDescent="0.25">
      <c r="A40" s="136"/>
      <c r="B40" s="137" t="s">
        <v>245</v>
      </c>
      <c r="C40" s="138"/>
      <c r="D40" s="138"/>
      <c r="E40" s="138"/>
      <c r="F40" s="139">
        <f>SUM(F33:F39)</f>
        <v>14061.41</v>
      </c>
      <c r="G40" s="140">
        <f>SUM(G33:G39)</f>
        <v>17</v>
      </c>
      <c r="H40" s="139">
        <f>SUM(H33:H35)</f>
        <v>571.13</v>
      </c>
      <c r="I40" s="141">
        <f>SUM(I33:I35)</f>
        <v>1575.3959999999997</v>
      </c>
      <c r="J40" s="141">
        <f>SUM(J33:J35)</f>
        <v>131.28300000000002</v>
      </c>
      <c r="K40" s="141">
        <f>SUM(K33:K39)</f>
        <v>198.96184799999997</v>
      </c>
      <c r="L40" s="141">
        <f>SUM(L33:L39)</f>
        <v>392.87067300000001</v>
      </c>
    </row>
    <row r="41" spans="1:12" ht="15" x14ac:dyDescent="0.25">
      <c r="A41" s="142"/>
      <c r="B41" s="143" t="s">
        <v>267</v>
      </c>
      <c r="C41" s="144"/>
      <c r="D41" s="144"/>
      <c r="E41" s="144"/>
      <c r="F41" s="145"/>
      <c r="G41" s="144"/>
      <c r="H41" s="145"/>
      <c r="I41" s="146"/>
      <c r="J41" s="146"/>
      <c r="K41" s="147"/>
      <c r="L41" s="148">
        <f>L40/20</f>
        <v>19.643533650000002</v>
      </c>
    </row>
  </sheetData>
  <mergeCells count="6">
    <mergeCell ref="A30:J31"/>
    <mergeCell ref="A1:I1"/>
    <mergeCell ref="A3:G3"/>
    <mergeCell ref="A24:I24"/>
    <mergeCell ref="A13:G13"/>
    <mergeCell ref="A25:F25"/>
  </mergeCells>
  <pageMargins left="0.51181102362204722" right="0.51181102362204722" top="0.78740157480314965" bottom="0.78740157480314965" header="0.31496062992125984" footer="0.31496062992125984"/>
  <pageSetup paperSize="8" scale="60" orientation="landscape" r:id="rId1"/>
  <colBreaks count="1" manualBreakCount="1">
    <brk id="9" max="1048575" man="1"/>
  </colBreaks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91"/>
  <sheetViews>
    <sheetView showGridLines="0" topLeftCell="A64" zoomScaleNormal="100" zoomScaleSheetLayoutView="70" workbookViewId="0">
      <selection activeCell="AF30" sqref="AF30"/>
    </sheetView>
  </sheetViews>
  <sheetFormatPr defaultColWidth="9.140625" defaultRowHeight="12.75" x14ac:dyDescent="0.2"/>
  <cols>
    <col min="1" max="1" width="7.5703125" style="43" customWidth="1"/>
    <col min="2" max="2" width="73" style="44" customWidth="1"/>
    <col min="3" max="3" width="23.140625" style="45" bestFit="1" customWidth="1"/>
    <col min="4" max="4" width="17.140625" style="45" bestFit="1" customWidth="1"/>
    <col min="5" max="5" width="17.42578125" style="45" bestFit="1" customWidth="1"/>
    <col min="6" max="6" width="18.5703125" style="46" bestFit="1" customWidth="1"/>
    <col min="7" max="7" width="18.7109375" style="46" bestFit="1" customWidth="1"/>
    <col min="8" max="8" width="18.7109375" style="47" bestFit="1" customWidth="1"/>
    <col min="9" max="9" width="14.140625" style="37" customWidth="1"/>
    <col min="10" max="10" width="13" style="37" customWidth="1"/>
    <col min="11" max="11" width="12.140625" style="37" customWidth="1"/>
    <col min="12" max="12" width="15.7109375" style="37" customWidth="1"/>
    <col min="13" max="16384" width="9.140625" style="37"/>
  </cols>
  <sheetData>
    <row r="1" spans="1:9" ht="18.75" x14ac:dyDescent="0.3">
      <c r="A1" s="215" t="s">
        <v>137</v>
      </c>
      <c r="B1" s="215"/>
      <c r="C1" s="215"/>
      <c r="D1" s="215"/>
      <c r="E1" s="215"/>
      <c r="F1" s="215"/>
      <c r="G1" s="215"/>
      <c r="H1" s="215"/>
    </row>
    <row r="3" spans="1:9" ht="30" x14ac:dyDescent="0.2">
      <c r="A3" s="38" t="s">
        <v>112</v>
      </c>
      <c r="B3" s="38" t="s">
        <v>113</v>
      </c>
      <c r="C3" s="38" t="s">
        <v>114</v>
      </c>
      <c r="D3" s="38" t="s">
        <v>115</v>
      </c>
      <c r="E3" s="38" t="s">
        <v>116</v>
      </c>
      <c r="F3" s="39" t="s">
        <v>117</v>
      </c>
      <c r="G3" s="39" t="s">
        <v>118</v>
      </c>
      <c r="H3" s="39" t="s">
        <v>119</v>
      </c>
      <c r="I3" s="84" t="s">
        <v>270</v>
      </c>
    </row>
    <row r="4" spans="1:9" ht="75" x14ac:dyDescent="0.25">
      <c r="A4" s="40">
        <v>1</v>
      </c>
      <c r="B4" s="102" t="s">
        <v>150</v>
      </c>
      <c r="C4" s="104" t="s">
        <v>227</v>
      </c>
      <c r="D4" s="86">
        <f>Tabela14[[#This Row],[QTD TOTAL]]/12</f>
        <v>40</v>
      </c>
      <c r="E4" s="41">
        <v>480</v>
      </c>
      <c r="F4" s="163">
        <v>7.82</v>
      </c>
      <c r="G4" s="30">
        <f>F4*Tabela14[[#This Row],[QTD MENSAL]]</f>
        <v>312.8</v>
      </c>
      <c r="H4" s="30">
        <f>F4*E4</f>
        <v>3753.6000000000004</v>
      </c>
      <c r="I4" s="108"/>
    </row>
    <row r="5" spans="1:9" ht="15" x14ac:dyDescent="0.25">
      <c r="A5" s="40">
        <v>2</v>
      </c>
      <c r="B5" s="103" t="s">
        <v>151</v>
      </c>
      <c r="C5" s="105" t="s">
        <v>227</v>
      </c>
      <c r="D5" s="86">
        <f>Tabela14[[#This Row],[QTD TOTAL]]/12</f>
        <v>10</v>
      </c>
      <c r="E5" s="41">
        <v>120</v>
      </c>
      <c r="F5" s="90">
        <v>33.67</v>
      </c>
      <c r="G5" s="30">
        <f>F5*Tabela14[[#This Row],[QTD MENSAL]]</f>
        <v>336.70000000000005</v>
      </c>
      <c r="H5" s="30">
        <f t="shared" ref="H5:H69" si="0">F5*E5</f>
        <v>4040.4</v>
      </c>
      <c r="I5" s="108"/>
    </row>
    <row r="6" spans="1:9" ht="15" x14ac:dyDescent="0.25">
      <c r="A6" s="40">
        <v>3</v>
      </c>
      <c r="B6" s="103" t="s">
        <v>152</v>
      </c>
      <c r="C6" s="105" t="s">
        <v>228</v>
      </c>
      <c r="D6" s="86">
        <f>Tabela14[[#This Row],[QTD TOTAL]]/12</f>
        <v>40</v>
      </c>
      <c r="E6" s="41">
        <v>480</v>
      </c>
      <c r="F6" s="90">
        <v>10.85</v>
      </c>
      <c r="G6" s="30">
        <f>F6*Tabela14[[#This Row],[QTD MENSAL]]</f>
        <v>434</v>
      </c>
      <c r="H6" s="30">
        <f>F6*E6</f>
        <v>5208</v>
      </c>
      <c r="I6" s="108"/>
    </row>
    <row r="7" spans="1:9" ht="15" x14ac:dyDescent="0.25">
      <c r="A7" s="40">
        <v>4</v>
      </c>
      <c r="B7" s="103" t="s">
        <v>153</v>
      </c>
      <c r="C7" s="105" t="s">
        <v>114</v>
      </c>
      <c r="D7" s="86">
        <f>Tabela14[[#This Row],[QTD TOTAL]]/12</f>
        <v>0.25</v>
      </c>
      <c r="E7" s="41">
        <v>3</v>
      </c>
      <c r="F7" s="90">
        <v>26.7</v>
      </c>
      <c r="G7" s="30">
        <f>F7*Tabela14[[#This Row],[QTD MENSAL]]</f>
        <v>6.6749999999999998</v>
      </c>
      <c r="H7" s="30">
        <f t="shared" si="0"/>
        <v>80.099999999999994</v>
      </c>
      <c r="I7" s="108"/>
    </row>
    <row r="8" spans="1:9" ht="15" x14ac:dyDescent="0.25">
      <c r="A8" s="40">
        <v>5</v>
      </c>
      <c r="B8" s="103" t="s">
        <v>154</v>
      </c>
      <c r="C8" s="105" t="s">
        <v>227</v>
      </c>
      <c r="D8" s="86">
        <f>Tabela14[[#This Row],[QTD TOTAL]]/12</f>
        <v>30</v>
      </c>
      <c r="E8" s="41">
        <v>360</v>
      </c>
      <c r="F8" s="90">
        <v>66.8</v>
      </c>
      <c r="G8" s="30">
        <f>F8*Tabela14[[#This Row],[QTD MENSAL]]</f>
        <v>2004</v>
      </c>
      <c r="H8" s="30">
        <f t="shared" si="0"/>
        <v>24048</v>
      </c>
      <c r="I8" s="108"/>
    </row>
    <row r="9" spans="1:9" ht="15" x14ac:dyDescent="0.25">
      <c r="A9" s="40">
        <v>6</v>
      </c>
      <c r="B9" s="103" t="s">
        <v>155</v>
      </c>
      <c r="C9" s="105" t="s">
        <v>114</v>
      </c>
      <c r="D9" s="86">
        <f>Tabela14[[#This Row],[QTD TOTAL]]/12</f>
        <v>5</v>
      </c>
      <c r="E9" s="41">
        <v>60</v>
      </c>
      <c r="F9" s="90">
        <v>10.23</v>
      </c>
      <c r="G9" s="30">
        <f>F9*Tabela14[[#This Row],[QTD MENSAL]]</f>
        <v>51.150000000000006</v>
      </c>
      <c r="H9" s="30">
        <f t="shared" ref="H9:H20" si="1">F9*E9</f>
        <v>613.80000000000007</v>
      </c>
      <c r="I9" s="108"/>
    </row>
    <row r="10" spans="1:9" ht="15" x14ac:dyDescent="0.25">
      <c r="A10" s="40">
        <v>7</v>
      </c>
      <c r="B10" s="103" t="s">
        <v>156</v>
      </c>
      <c r="C10" s="105" t="s">
        <v>114</v>
      </c>
      <c r="D10" s="86">
        <f>Tabela14[[#This Row],[QTD TOTAL]]/12</f>
        <v>2.5</v>
      </c>
      <c r="E10" s="41">
        <v>30</v>
      </c>
      <c r="F10" s="90">
        <v>13.96</v>
      </c>
      <c r="G10" s="30">
        <f>F10*Tabela14[[#This Row],[QTD MENSAL]]</f>
        <v>34.900000000000006</v>
      </c>
      <c r="H10" s="30">
        <f t="shared" si="1"/>
        <v>418.8</v>
      </c>
      <c r="I10" s="108"/>
    </row>
    <row r="11" spans="1:9" ht="15" x14ac:dyDescent="0.25">
      <c r="A11" s="40">
        <v>8</v>
      </c>
      <c r="B11" s="103" t="s">
        <v>157</v>
      </c>
      <c r="C11" s="105" t="s">
        <v>227</v>
      </c>
      <c r="D11" s="86">
        <f>Tabela14[[#This Row],[QTD TOTAL]]/12</f>
        <v>4</v>
      </c>
      <c r="E11" s="41">
        <v>48</v>
      </c>
      <c r="F11" s="90">
        <v>37.83</v>
      </c>
      <c r="G11" s="30">
        <f>F11*Tabela14[[#This Row],[QTD MENSAL]]</f>
        <v>151.32</v>
      </c>
      <c r="H11" s="30">
        <f t="shared" si="1"/>
        <v>1815.84</v>
      </c>
      <c r="I11" s="108"/>
    </row>
    <row r="12" spans="1:9" ht="30" x14ac:dyDescent="0.25">
      <c r="A12" s="40">
        <v>9</v>
      </c>
      <c r="B12" s="103" t="s">
        <v>158</v>
      </c>
      <c r="C12" s="105" t="s">
        <v>114</v>
      </c>
      <c r="D12" s="86">
        <f>Tabela14[[#This Row],[QTD TOTAL]]/12</f>
        <v>2.5</v>
      </c>
      <c r="E12" s="41">
        <v>30</v>
      </c>
      <c r="F12" s="90">
        <v>7.23</v>
      </c>
      <c r="G12" s="30">
        <f>F12*Tabela14[[#This Row],[QTD MENSAL]]</f>
        <v>18.075000000000003</v>
      </c>
      <c r="H12" s="30">
        <f t="shared" si="1"/>
        <v>216.9</v>
      </c>
      <c r="I12" s="108"/>
    </row>
    <row r="13" spans="1:9" ht="30" x14ac:dyDescent="0.25">
      <c r="A13" s="40">
        <v>10</v>
      </c>
      <c r="B13" s="103" t="s">
        <v>159</v>
      </c>
      <c r="C13" s="105" t="s">
        <v>114</v>
      </c>
      <c r="D13" s="86">
        <f>Tabela14[[#This Row],[QTD TOTAL]]/12</f>
        <v>0.41666666666666669</v>
      </c>
      <c r="E13" s="41">
        <v>5</v>
      </c>
      <c r="F13" s="90">
        <v>489</v>
      </c>
      <c r="G13" s="30">
        <f>F13*Tabela14[[#This Row],[QTD MENSAL]]</f>
        <v>203.75</v>
      </c>
      <c r="H13" s="30">
        <f t="shared" si="1"/>
        <v>2445</v>
      </c>
      <c r="I13" s="108"/>
    </row>
    <row r="14" spans="1:9" ht="30" x14ac:dyDescent="0.25">
      <c r="A14" s="40">
        <v>11</v>
      </c>
      <c r="B14" s="103" t="s">
        <v>160</v>
      </c>
      <c r="C14" s="105" t="s">
        <v>114</v>
      </c>
      <c r="D14" s="86">
        <f>Tabela14[[#This Row],[QTD TOTAL]]/12</f>
        <v>0.25</v>
      </c>
      <c r="E14" s="41">
        <v>3</v>
      </c>
      <c r="F14" s="90">
        <v>31.83</v>
      </c>
      <c r="G14" s="30">
        <f>F14*Tabela14[[#This Row],[QTD MENSAL]]</f>
        <v>7.9574999999999996</v>
      </c>
      <c r="H14" s="30">
        <f t="shared" si="1"/>
        <v>95.49</v>
      </c>
      <c r="I14" s="108"/>
    </row>
    <row r="15" spans="1:9" ht="15" x14ac:dyDescent="0.25">
      <c r="A15" s="40">
        <v>12</v>
      </c>
      <c r="B15" s="103" t="s">
        <v>161</v>
      </c>
      <c r="C15" s="105" t="s">
        <v>114</v>
      </c>
      <c r="D15" s="86">
        <f>Tabela14[[#This Row],[QTD TOTAL]]/12</f>
        <v>0.66666666666666663</v>
      </c>
      <c r="E15" s="41">
        <v>8</v>
      </c>
      <c r="F15" s="90">
        <v>304.26</v>
      </c>
      <c r="G15" s="30">
        <f>F15*Tabela14[[#This Row],[QTD MENSAL]]</f>
        <v>202.83999999999997</v>
      </c>
      <c r="H15" s="30">
        <f t="shared" si="1"/>
        <v>2434.08</v>
      </c>
      <c r="I15" s="108"/>
    </row>
    <row r="16" spans="1:9" ht="15" x14ac:dyDescent="0.25">
      <c r="A16" s="40">
        <v>13</v>
      </c>
      <c r="B16" s="103" t="s">
        <v>162</v>
      </c>
      <c r="C16" s="105" t="s">
        <v>114</v>
      </c>
      <c r="D16" s="86">
        <f>Tabela14[[#This Row],[QTD TOTAL]]/12</f>
        <v>1</v>
      </c>
      <c r="E16" s="41">
        <v>12</v>
      </c>
      <c r="F16" s="90">
        <v>7.78</v>
      </c>
      <c r="G16" s="30">
        <f>F16*Tabela14[[#This Row],[QTD MENSAL]]</f>
        <v>7.78</v>
      </c>
      <c r="H16" s="30">
        <f t="shared" si="1"/>
        <v>93.36</v>
      </c>
      <c r="I16" s="108"/>
    </row>
    <row r="17" spans="1:9" ht="15" x14ac:dyDescent="0.25">
      <c r="A17" s="40">
        <v>14</v>
      </c>
      <c r="B17" s="103" t="s">
        <v>163</v>
      </c>
      <c r="C17" s="105" t="s">
        <v>227</v>
      </c>
      <c r="D17" s="86">
        <f>Tabela14[[#This Row],[QTD TOTAL]]/12</f>
        <v>10</v>
      </c>
      <c r="E17" s="41">
        <v>120</v>
      </c>
      <c r="F17" s="90">
        <v>22.08</v>
      </c>
      <c r="G17" s="30">
        <f>F17*Tabela14[[#This Row],[QTD MENSAL]]</f>
        <v>220.79999999999998</v>
      </c>
      <c r="H17" s="30">
        <f t="shared" si="1"/>
        <v>2649.6</v>
      </c>
      <c r="I17" s="108"/>
    </row>
    <row r="18" spans="1:9" ht="15" x14ac:dyDescent="0.25">
      <c r="A18" s="40">
        <v>15</v>
      </c>
      <c r="B18" s="103" t="s">
        <v>164</v>
      </c>
      <c r="C18" s="105" t="s">
        <v>227</v>
      </c>
      <c r="D18" s="86">
        <f>Tabela14[[#This Row],[QTD TOTAL]]/12</f>
        <v>40</v>
      </c>
      <c r="E18" s="41">
        <v>480</v>
      </c>
      <c r="F18" s="90">
        <v>51.69</v>
      </c>
      <c r="G18" s="30">
        <f>F18*Tabela14[[#This Row],[QTD MENSAL]]</f>
        <v>2067.6</v>
      </c>
      <c r="H18" s="30">
        <f t="shared" si="1"/>
        <v>24811.199999999997</v>
      </c>
      <c r="I18" s="108"/>
    </row>
    <row r="19" spans="1:9" ht="15" x14ac:dyDescent="0.25">
      <c r="A19" s="40">
        <v>16</v>
      </c>
      <c r="B19" s="103" t="s">
        <v>165</v>
      </c>
      <c r="C19" s="105" t="s">
        <v>114</v>
      </c>
      <c r="D19" s="86">
        <f>Tabela14[[#This Row],[QTD TOTAL]]/12</f>
        <v>40</v>
      </c>
      <c r="E19" s="41">
        <v>480</v>
      </c>
      <c r="F19" s="90">
        <v>12.04</v>
      </c>
      <c r="G19" s="30">
        <f>F19*Tabela14[[#This Row],[QTD MENSAL]]</f>
        <v>481.59999999999997</v>
      </c>
      <c r="H19" s="30">
        <f t="shared" si="1"/>
        <v>5779.2</v>
      </c>
      <c r="I19" s="108"/>
    </row>
    <row r="20" spans="1:9" ht="15" x14ac:dyDescent="0.25">
      <c r="A20" s="40">
        <v>17</v>
      </c>
      <c r="B20" s="103" t="s">
        <v>166</v>
      </c>
      <c r="C20" s="106" t="s">
        <v>229</v>
      </c>
      <c r="D20" s="86">
        <f>Tabela14[[#This Row],[QTD TOTAL]]/12</f>
        <v>20</v>
      </c>
      <c r="E20" s="41">
        <v>240</v>
      </c>
      <c r="F20" s="90">
        <v>3.79</v>
      </c>
      <c r="G20" s="30">
        <f>F20*Tabela14[[#This Row],[QTD MENSAL]]</f>
        <v>75.8</v>
      </c>
      <c r="H20" s="30">
        <f t="shared" si="1"/>
        <v>909.6</v>
      </c>
      <c r="I20" s="108"/>
    </row>
    <row r="21" spans="1:9" ht="15" x14ac:dyDescent="0.25">
      <c r="A21" s="40">
        <v>18</v>
      </c>
      <c r="B21" s="103" t="s">
        <v>167</v>
      </c>
      <c r="C21" s="105" t="s">
        <v>227</v>
      </c>
      <c r="D21" s="86">
        <f>Tabela14[[#This Row],[QTD TOTAL]]/12</f>
        <v>40</v>
      </c>
      <c r="E21" s="41">
        <v>480</v>
      </c>
      <c r="F21" s="90">
        <v>27.32</v>
      </c>
      <c r="G21" s="30">
        <f>F21*Tabela14[[#This Row],[QTD MENSAL]]</f>
        <v>1092.8</v>
      </c>
      <c r="H21" s="30">
        <f t="shared" si="0"/>
        <v>13113.6</v>
      </c>
      <c r="I21" s="108"/>
    </row>
    <row r="22" spans="1:9" ht="15" x14ac:dyDescent="0.25">
      <c r="A22" s="40">
        <v>19</v>
      </c>
      <c r="B22" s="103" t="s">
        <v>168</v>
      </c>
      <c r="C22" s="105" t="s">
        <v>114</v>
      </c>
      <c r="D22" s="86">
        <f>Tabela14[[#This Row],[QTD TOTAL]]/12</f>
        <v>1.25</v>
      </c>
      <c r="E22" s="41">
        <v>15</v>
      </c>
      <c r="F22" s="90">
        <v>34.619999999999997</v>
      </c>
      <c r="G22" s="30">
        <f>F22*Tabela14[[#This Row],[QTD MENSAL]]</f>
        <v>43.274999999999999</v>
      </c>
      <c r="H22" s="30">
        <f t="shared" si="0"/>
        <v>519.29999999999995</v>
      </c>
      <c r="I22" s="108"/>
    </row>
    <row r="23" spans="1:9" ht="15" x14ac:dyDescent="0.25">
      <c r="A23" s="40">
        <v>20</v>
      </c>
      <c r="B23" s="103" t="s">
        <v>169</v>
      </c>
      <c r="C23" s="105" t="s">
        <v>114</v>
      </c>
      <c r="D23" s="86">
        <f>Tabela14[[#This Row],[QTD TOTAL]]/12</f>
        <v>5</v>
      </c>
      <c r="E23" s="41">
        <v>60</v>
      </c>
      <c r="F23" s="90">
        <v>28</v>
      </c>
      <c r="G23" s="30">
        <f>F23*Tabela14[[#This Row],[QTD MENSAL]]</f>
        <v>140</v>
      </c>
      <c r="H23" s="30">
        <f t="shared" ref="H23:H48" si="2">F23*E23</f>
        <v>1680</v>
      </c>
      <c r="I23" s="108"/>
    </row>
    <row r="24" spans="1:9" ht="15" x14ac:dyDescent="0.25">
      <c r="A24" s="40">
        <v>21</v>
      </c>
      <c r="B24" s="103" t="s">
        <v>170</v>
      </c>
      <c r="C24" s="105" t="s">
        <v>114</v>
      </c>
      <c r="D24" s="86">
        <f>Tabela14[[#This Row],[QTD TOTAL]]/12</f>
        <v>5</v>
      </c>
      <c r="E24" s="41">
        <v>60</v>
      </c>
      <c r="F24" s="90">
        <v>17.07</v>
      </c>
      <c r="G24" s="30">
        <f>F24*Tabela14[[#This Row],[QTD MENSAL]]</f>
        <v>85.35</v>
      </c>
      <c r="H24" s="30">
        <f t="shared" si="2"/>
        <v>1024.2</v>
      </c>
      <c r="I24" s="108"/>
    </row>
    <row r="25" spans="1:9" ht="15" x14ac:dyDescent="0.25">
      <c r="A25" s="40">
        <v>22</v>
      </c>
      <c r="B25" s="103" t="s">
        <v>171</v>
      </c>
      <c r="C25" s="105" t="s">
        <v>114</v>
      </c>
      <c r="D25" s="86">
        <f>Tabela14[[#This Row],[QTD TOTAL]]/12</f>
        <v>5</v>
      </c>
      <c r="E25" s="41">
        <v>60</v>
      </c>
      <c r="F25" s="90">
        <v>5.7</v>
      </c>
      <c r="G25" s="30">
        <f>F25*Tabela14[[#This Row],[QTD MENSAL]]</f>
        <v>28.5</v>
      </c>
      <c r="H25" s="30">
        <f t="shared" si="2"/>
        <v>342</v>
      </c>
      <c r="I25" s="108"/>
    </row>
    <row r="26" spans="1:9" ht="15" x14ac:dyDescent="0.25">
      <c r="A26" s="40">
        <v>23</v>
      </c>
      <c r="B26" s="103" t="s">
        <v>172</v>
      </c>
      <c r="C26" s="105" t="s">
        <v>114</v>
      </c>
      <c r="D26" s="86">
        <f>Tabela14[[#This Row],[QTD TOTAL]]/12</f>
        <v>5</v>
      </c>
      <c r="E26" s="41">
        <v>60</v>
      </c>
      <c r="F26" s="90">
        <v>32</v>
      </c>
      <c r="G26" s="30">
        <f>F26*Tabela14[[#This Row],[QTD MENSAL]]</f>
        <v>160</v>
      </c>
      <c r="H26" s="30">
        <f t="shared" si="2"/>
        <v>1920</v>
      </c>
      <c r="I26" s="108"/>
    </row>
    <row r="27" spans="1:9" ht="15" x14ac:dyDescent="0.25">
      <c r="A27" s="40">
        <v>24</v>
      </c>
      <c r="B27" s="103" t="s">
        <v>173</v>
      </c>
      <c r="C27" s="105" t="s">
        <v>114</v>
      </c>
      <c r="D27" s="86">
        <f>Tabela14[[#This Row],[QTD TOTAL]]/12</f>
        <v>6.666666666666667</v>
      </c>
      <c r="E27" s="41">
        <v>80</v>
      </c>
      <c r="F27" s="90">
        <v>0.76</v>
      </c>
      <c r="G27" s="30">
        <f>F27*Tabela14[[#This Row],[QTD MENSAL]]</f>
        <v>5.0666666666666673</v>
      </c>
      <c r="H27" s="30">
        <f t="shared" si="2"/>
        <v>60.8</v>
      </c>
      <c r="I27" s="108"/>
    </row>
    <row r="28" spans="1:9" ht="15" x14ac:dyDescent="0.25">
      <c r="A28" s="40">
        <v>25</v>
      </c>
      <c r="B28" s="103" t="s">
        <v>174</v>
      </c>
      <c r="C28" s="105" t="s">
        <v>114</v>
      </c>
      <c r="D28" s="86">
        <f>Tabela14[[#This Row],[QTD TOTAL]]/12</f>
        <v>60</v>
      </c>
      <c r="E28" s="41">
        <v>720</v>
      </c>
      <c r="F28" s="90">
        <v>1.69</v>
      </c>
      <c r="G28" s="30">
        <f>F28*Tabela14[[#This Row],[QTD MENSAL]]</f>
        <v>101.39999999999999</v>
      </c>
      <c r="H28" s="30">
        <f t="shared" si="2"/>
        <v>1216.8</v>
      </c>
      <c r="I28" s="108"/>
    </row>
    <row r="29" spans="1:9" ht="15" x14ac:dyDescent="0.25">
      <c r="A29" s="40">
        <v>26</v>
      </c>
      <c r="B29" s="103" t="s">
        <v>175</v>
      </c>
      <c r="C29" s="105" t="s">
        <v>114</v>
      </c>
      <c r="D29" s="86">
        <f>Tabela14[[#This Row],[QTD TOTAL]]/12</f>
        <v>0.33333333333333331</v>
      </c>
      <c r="E29" s="41">
        <v>4</v>
      </c>
      <c r="F29" s="90">
        <v>381.29</v>
      </c>
      <c r="G29" s="30">
        <f>F29*Tabela14[[#This Row],[QTD MENSAL]]</f>
        <v>127.09666666666666</v>
      </c>
      <c r="H29" s="30">
        <f t="shared" si="2"/>
        <v>1525.16</v>
      </c>
      <c r="I29" s="108"/>
    </row>
    <row r="30" spans="1:9" ht="15" x14ac:dyDescent="0.25">
      <c r="A30" s="40">
        <v>27</v>
      </c>
      <c r="B30" s="103" t="s">
        <v>176</v>
      </c>
      <c r="C30" s="105" t="s">
        <v>114</v>
      </c>
      <c r="D30" s="86">
        <f>Tabela14[[#This Row],[QTD TOTAL]]/12</f>
        <v>20</v>
      </c>
      <c r="E30" s="41">
        <v>240</v>
      </c>
      <c r="F30" s="90">
        <v>2.5</v>
      </c>
      <c r="G30" s="30">
        <f>F30*Tabela14[[#This Row],[QTD MENSAL]]</f>
        <v>50</v>
      </c>
      <c r="H30" s="30">
        <f t="shared" si="2"/>
        <v>600</v>
      </c>
      <c r="I30" s="108"/>
    </row>
    <row r="31" spans="1:9" ht="15" x14ac:dyDescent="0.25">
      <c r="A31" s="40">
        <v>28</v>
      </c>
      <c r="B31" s="103" t="s">
        <v>177</v>
      </c>
      <c r="C31" s="105" t="s">
        <v>114</v>
      </c>
      <c r="D31" s="86">
        <f>Tabela14[[#This Row],[QTD TOTAL]]/12</f>
        <v>5</v>
      </c>
      <c r="E31" s="41">
        <v>60</v>
      </c>
      <c r="F31" s="90">
        <v>6.57</v>
      </c>
      <c r="G31" s="30">
        <f>F31*Tabela14[[#This Row],[QTD MENSAL]]</f>
        <v>32.85</v>
      </c>
      <c r="H31" s="30">
        <f t="shared" si="2"/>
        <v>394.20000000000005</v>
      </c>
      <c r="I31" s="108"/>
    </row>
    <row r="32" spans="1:9" ht="15" x14ac:dyDescent="0.25">
      <c r="A32" s="40">
        <v>29</v>
      </c>
      <c r="B32" s="103" t="s">
        <v>178</v>
      </c>
      <c r="C32" s="105" t="s">
        <v>114</v>
      </c>
      <c r="D32" s="86">
        <f>Tabela14[[#This Row],[QTD TOTAL]]/12</f>
        <v>0.5</v>
      </c>
      <c r="E32" s="41">
        <v>6</v>
      </c>
      <c r="F32" s="90">
        <v>11.85</v>
      </c>
      <c r="G32" s="30">
        <f>F32*Tabela14[[#This Row],[QTD MENSAL]]</f>
        <v>5.9249999999999998</v>
      </c>
      <c r="H32" s="30">
        <f t="shared" si="2"/>
        <v>71.099999999999994</v>
      </c>
      <c r="I32" s="108"/>
    </row>
    <row r="33" spans="1:9" ht="15" x14ac:dyDescent="0.25">
      <c r="A33" s="40">
        <v>30</v>
      </c>
      <c r="B33" s="103" t="s">
        <v>179</v>
      </c>
      <c r="C33" s="105" t="s">
        <v>227</v>
      </c>
      <c r="D33" s="86">
        <f>Tabela14[[#This Row],[QTD TOTAL]]/12</f>
        <v>0.66666666666666663</v>
      </c>
      <c r="E33" s="41">
        <v>8</v>
      </c>
      <c r="F33" s="90">
        <v>20.83</v>
      </c>
      <c r="G33" s="30">
        <f>F33*Tabela14[[#This Row],[QTD MENSAL]]</f>
        <v>13.886666666666665</v>
      </c>
      <c r="H33" s="30">
        <f t="shared" si="2"/>
        <v>166.64</v>
      </c>
      <c r="I33" s="108"/>
    </row>
    <row r="34" spans="1:9" ht="30" x14ac:dyDescent="0.25">
      <c r="A34" s="40">
        <v>31</v>
      </c>
      <c r="B34" s="103" t="s">
        <v>180</v>
      </c>
      <c r="C34" s="105" t="s">
        <v>114</v>
      </c>
      <c r="D34" s="86">
        <f>Tabela14[[#This Row],[QTD TOTAL]]/12</f>
        <v>0.5</v>
      </c>
      <c r="E34" s="41">
        <v>6</v>
      </c>
      <c r="F34" s="90">
        <v>81.17</v>
      </c>
      <c r="G34" s="30">
        <f>F34*Tabela14[[#This Row],[QTD MENSAL]]</f>
        <v>40.585000000000001</v>
      </c>
      <c r="H34" s="30">
        <f t="shared" si="2"/>
        <v>487.02</v>
      </c>
      <c r="I34" s="108"/>
    </row>
    <row r="35" spans="1:9" ht="30" x14ac:dyDescent="0.25">
      <c r="A35" s="40">
        <v>32</v>
      </c>
      <c r="B35" s="103" t="s">
        <v>181</v>
      </c>
      <c r="C35" s="105" t="s">
        <v>114</v>
      </c>
      <c r="D35" s="86">
        <f>Tabela14[[#This Row],[QTD TOTAL]]/12</f>
        <v>0.5</v>
      </c>
      <c r="E35" s="41">
        <v>6</v>
      </c>
      <c r="F35" s="90">
        <v>94.41</v>
      </c>
      <c r="G35" s="30">
        <f>F35*Tabela14[[#This Row],[QTD MENSAL]]</f>
        <v>47.204999999999998</v>
      </c>
      <c r="H35" s="30">
        <f t="shared" si="2"/>
        <v>566.46</v>
      </c>
      <c r="I35" s="108"/>
    </row>
    <row r="36" spans="1:9" ht="30" x14ac:dyDescent="0.25">
      <c r="A36" s="40">
        <v>33</v>
      </c>
      <c r="B36" s="103" t="s">
        <v>182</v>
      </c>
      <c r="C36" s="105" t="s">
        <v>114</v>
      </c>
      <c r="D36" s="86">
        <f>Tabela14[[#This Row],[QTD TOTAL]]/12</f>
        <v>0.5</v>
      </c>
      <c r="E36" s="41">
        <v>6</v>
      </c>
      <c r="F36" s="90">
        <v>123.25</v>
      </c>
      <c r="G36" s="30">
        <f>F36*Tabela14[[#This Row],[QTD MENSAL]]</f>
        <v>61.625</v>
      </c>
      <c r="H36" s="30">
        <f t="shared" si="2"/>
        <v>739.5</v>
      </c>
      <c r="I36" s="108"/>
    </row>
    <row r="37" spans="1:9" ht="30" x14ac:dyDescent="0.25">
      <c r="A37" s="40">
        <v>34</v>
      </c>
      <c r="B37" s="103" t="s">
        <v>183</v>
      </c>
      <c r="C37" s="105" t="s">
        <v>114</v>
      </c>
      <c r="D37" s="86">
        <f>Tabela14[[#This Row],[QTD TOTAL]]/12</f>
        <v>0.5</v>
      </c>
      <c r="E37" s="41">
        <v>6</v>
      </c>
      <c r="F37" s="90">
        <v>60.75</v>
      </c>
      <c r="G37" s="30">
        <f>F37*Tabela14[[#This Row],[QTD MENSAL]]</f>
        <v>30.375</v>
      </c>
      <c r="H37" s="30">
        <f t="shared" si="2"/>
        <v>364.5</v>
      </c>
      <c r="I37" s="108"/>
    </row>
    <row r="38" spans="1:9" ht="30" x14ac:dyDescent="0.25">
      <c r="A38" s="40">
        <v>35</v>
      </c>
      <c r="B38" s="103" t="s">
        <v>184</v>
      </c>
      <c r="C38" s="105" t="s">
        <v>114</v>
      </c>
      <c r="D38" s="86">
        <f>Tabela14[[#This Row],[QTD TOTAL]]/12</f>
        <v>0.5</v>
      </c>
      <c r="E38" s="41">
        <v>6</v>
      </c>
      <c r="F38" s="90">
        <v>71.489999999999995</v>
      </c>
      <c r="G38" s="30">
        <f>F38*Tabela14[[#This Row],[QTD MENSAL]]</f>
        <v>35.744999999999997</v>
      </c>
      <c r="H38" s="30">
        <f t="shared" si="2"/>
        <v>428.93999999999994</v>
      </c>
      <c r="I38" s="108"/>
    </row>
    <row r="39" spans="1:9" ht="30" x14ac:dyDescent="0.25">
      <c r="A39" s="40">
        <v>36</v>
      </c>
      <c r="B39" s="103" t="s">
        <v>185</v>
      </c>
      <c r="C39" s="105" t="s">
        <v>114</v>
      </c>
      <c r="D39" s="86">
        <f>Tabela14[[#This Row],[QTD TOTAL]]/12</f>
        <v>0.5</v>
      </c>
      <c r="E39" s="41">
        <v>6</v>
      </c>
      <c r="F39" s="90">
        <v>86.5</v>
      </c>
      <c r="G39" s="30">
        <f>F39*Tabela14[[#This Row],[QTD MENSAL]]</f>
        <v>43.25</v>
      </c>
      <c r="H39" s="30">
        <f t="shared" si="2"/>
        <v>519</v>
      </c>
      <c r="I39" s="108"/>
    </row>
    <row r="40" spans="1:9" ht="15" x14ac:dyDescent="0.25">
      <c r="A40" s="40">
        <v>37</v>
      </c>
      <c r="B40" s="103" t="s">
        <v>186</v>
      </c>
      <c r="C40" s="105" t="s">
        <v>114</v>
      </c>
      <c r="D40" s="86">
        <f>Tabela14[[#This Row],[QTD TOTAL]]/12</f>
        <v>5</v>
      </c>
      <c r="E40" s="41">
        <v>60</v>
      </c>
      <c r="F40" s="90">
        <v>5.6</v>
      </c>
      <c r="G40" s="30">
        <f>F40*Tabela14[[#This Row],[QTD MENSAL]]</f>
        <v>28</v>
      </c>
      <c r="H40" s="30">
        <f t="shared" si="2"/>
        <v>336</v>
      </c>
      <c r="I40" s="108"/>
    </row>
    <row r="41" spans="1:9" ht="15" x14ac:dyDescent="0.25">
      <c r="A41" s="40">
        <v>38</v>
      </c>
      <c r="B41" s="103" t="s">
        <v>187</v>
      </c>
      <c r="C41" s="105" t="s">
        <v>127</v>
      </c>
      <c r="D41" s="86">
        <f>Tabela14[[#This Row],[QTD TOTAL]]/12</f>
        <v>10</v>
      </c>
      <c r="E41" s="41">
        <v>120</v>
      </c>
      <c r="F41" s="90">
        <v>6.07</v>
      </c>
      <c r="G41" s="30">
        <f>F41*Tabela14[[#This Row],[QTD MENSAL]]</f>
        <v>60.7</v>
      </c>
      <c r="H41" s="30">
        <f t="shared" si="2"/>
        <v>728.40000000000009</v>
      </c>
      <c r="I41" s="108"/>
    </row>
    <row r="42" spans="1:9" ht="30" x14ac:dyDescent="0.25">
      <c r="A42" s="40">
        <v>39</v>
      </c>
      <c r="B42" s="103" t="s">
        <v>188</v>
      </c>
      <c r="C42" s="105" t="s">
        <v>230</v>
      </c>
      <c r="D42" s="86">
        <f>Tabela14[[#This Row],[QTD TOTAL]]/12</f>
        <v>4</v>
      </c>
      <c r="E42" s="41">
        <v>48</v>
      </c>
      <c r="F42" s="90">
        <v>21.9</v>
      </c>
      <c r="G42" s="30">
        <f>F42*Tabela14[[#This Row],[QTD MENSAL]]</f>
        <v>87.6</v>
      </c>
      <c r="H42" s="30">
        <f t="shared" si="2"/>
        <v>1051.1999999999998</v>
      </c>
      <c r="I42" s="108"/>
    </row>
    <row r="43" spans="1:9" ht="15" x14ac:dyDescent="0.25">
      <c r="A43" s="40">
        <v>40</v>
      </c>
      <c r="B43" s="103" t="s">
        <v>189</v>
      </c>
      <c r="C43" s="105" t="s">
        <v>127</v>
      </c>
      <c r="D43" s="86">
        <f>Tabela14[[#This Row],[QTD TOTAL]]/12</f>
        <v>20</v>
      </c>
      <c r="E43" s="41">
        <v>240</v>
      </c>
      <c r="F43" s="90">
        <v>3.86</v>
      </c>
      <c r="G43" s="30">
        <f>F43*Tabela14[[#This Row],[QTD MENSAL]]</f>
        <v>77.2</v>
      </c>
      <c r="H43" s="30">
        <f t="shared" si="2"/>
        <v>926.4</v>
      </c>
      <c r="I43" s="108"/>
    </row>
    <row r="44" spans="1:9" ht="15" x14ac:dyDescent="0.25">
      <c r="A44" s="40">
        <v>41</v>
      </c>
      <c r="B44" s="103" t="s">
        <v>190</v>
      </c>
      <c r="C44" s="105" t="s">
        <v>127</v>
      </c>
      <c r="D44" s="86">
        <f>Tabela14[[#This Row],[QTD TOTAL]]/12</f>
        <v>20</v>
      </c>
      <c r="E44" s="41">
        <v>240</v>
      </c>
      <c r="F44" s="90">
        <v>3.86</v>
      </c>
      <c r="G44" s="30">
        <f>F44*Tabela14[[#This Row],[QTD MENSAL]]</f>
        <v>77.2</v>
      </c>
      <c r="H44" s="30">
        <f t="shared" si="2"/>
        <v>926.4</v>
      </c>
      <c r="I44" s="108"/>
    </row>
    <row r="45" spans="1:9" ht="15" x14ac:dyDescent="0.25">
      <c r="A45" s="40">
        <v>42</v>
      </c>
      <c r="B45" s="103" t="s">
        <v>191</v>
      </c>
      <c r="C45" s="105" t="s">
        <v>127</v>
      </c>
      <c r="D45" s="86">
        <f>Tabela14[[#This Row],[QTD TOTAL]]/12</f>
        <v>20</v>
      </c>
      <c r="E45" s="41">
        <v>240</v>
      </c>
      <c r="F45" s="90">
        <v>3.86</v>
      </c>
      <c r="G45" s="30">
        <f>F45*Tabela14[[#This Row],[QTD MENSAL]]</f>
        <v>77.2</v>
      </c>
      <c r="H45" s="30">
        <f t="shared" si="2"/>
        <v>926.4</v>
      </c>
      <c r="I45" s="108"/>
    </row>
    <row r="46" spans="1:9" ht="15" x14ac:dyDescent="0.25">
      <c r="A46" s="40">
        <v>43</v>
      </c>
      <c r="B46" s="103" t="s">
        <v>192</v>
      </c>
      <c r="C46" s="105" t="s">
        <v>127</v>
      </c>
      <c r="D46" s="86">
        <f>Tabela14[[#This Row],[QTD TOTAL]]/12</f>
        <v>1.6666666666666667</v>
      </c>
      <c r="E46" s="41">
        <v>20</v>
      </c>
      <c r="F46" s="90">
        <v>3.86</v>
      </c>
      <c r="G46" s="30">
        <f>F46*Tabela14[[#This Row],[QTD MENSAL]]</f>
        <v>6.4333333333333336</v>
      </c>
      <c r="H46" s="30">
        <f t="shared" si="2"/>
        <v>77.2</v>
      </c>
      <c r="I46" s="108"/>
    </row>
    <row r="47" spans="1:9" ht="15" x14ac:dyDescent="0.25">
      <c r="A47" s="40">
        <v>44</v>
      </c>
      <c r="B47" s="103" t="s">
        <v>193</v>
      </c>
      <c r="C47" s="105" t="s">
        <v>114</v>
      </c>
      <c r="D47" s="86">
        <f>Tabela14[[#This Row],[QTD TOTAL]]/12</f>
        <v>0.33333333333333331</v>
      </c>
      <c r="E47" s="41">
        <v>4</v>
      </c>
      <c r="F47" s="90">
        <v>77.430000000000007</v>
      </c>
      <c r="G47" s="30">
        <f>F47*Tabela14[[#This Row],[QTD MENSAL]]</f>
        <v>25.810000000000002</v>
      </c>
      <c r="H47" s="30">
        <f t="shared" si="2"/>
        <v>309.72000000000003</v>
      </c>
      <c r="I47" s="108"/>
    </row>
    <row r="48" spans="1:9" ht="15" x14ac:dyDescent="0.25">
      <c r="A48" s="40">
        <v>45</v>
      </c>
      <c r="B48" s="103" t="s">
        <v>194</v>
      </c>
      <c r="C48" s="105" t="s">
        <v>230</v>
      </c>
      <c r="D48" s="86">
        <f>Tabela14[[#This Row],[QTD TOTAL]]/12</f>
        <v>1.6666666666666667</v>
      </c>
      <c r="E48" s="41">
        <v>20</v>
      </c>
      <c r="F48" s="90">
        <v>14.14</v>
      </c>
      <c r="G48" s="30">
        <f>F48*Tabela14[[#This Row],[QTD MENSAL]]</f>
        <v>23.56666666666667</v>
      </c>
      <c r="H48" s="30">
        <f t="shared" si="2"/>
        <v>282.8</v>
      </c>
      <c r="I48" s="108"/>
    </row>
    <row r="49" spans="1:9" ht="15" x14ac:dyDescent="0.25">
      <c r="A49" s="40">
        <v>46</v>
      </c>
      <c r="B49" s="103" t="s">
        <v>195</v>
      </c>
      <c r="C49" s="105" t="s">
        <v>114</v>
      </c>
      <c r="D49" s="86">
        <f>Tabela14[[#This Row],[QTD TOTAL]]/12</f>
        <v>0.83333333333333337</v>
      </c>
      <c r="E49" s="41">
        <v>10</v>
      </c>
      <c r="F49" s="90">
        <v>29.51</v>
      </c>
      <c r="G49" s="30">
        <f>F49*Tabela14[[#This Row],[QTD MENSAL]]</f>
        <v>24.591666666666669</v>
      </c>
      <c r="H49" s="30">
        <f t="shared" si="0"/>
        <v>295.10000000000002</v>
      </c>
      <c r="I49" s="108"/>
    </row>
    <row r="50" spans="1:9" ht="15" x14ac:dyDescent="0.25">
      <c r="A50" s="40">
        <v>47</v>
      </c>
      <c r="B50" s="103" t="s">
        <v>196</v>
      </c>
      <c r="C50" s="105" t="s">
        <v>231</v>
      </c>
      <c r="D50" s="86">
        <f>Tabela14[[#This Row],[QTD TOTAL]]/12</f>
        <v>5</v>
      </c>
      <c r="E50" s="41">
        <v>60</v>
      </c>
      <c r="F50" s="90">
        <v>41.58</v>
      </c>
      <c r="G50" s="30">
        <f>F50*Tabela14[[#This Row],[QTD MENSAL]]</f>
        <v>207.89999999999998</v>
      </c>
      <c r="H50" s="30">
        <f t="shared" si="0"/>
        <v>2494.7999999999997</v>
      </c>
      <c r="I50" s="108"/>
    </row>
    <row r="51" spans="1:9" ht="15" x14ac:dyDescent="0.25">
      <c r="A51" s="40">
        <v>48</v>
      </c>
      <c r="B51" s="103" t="s">
        <v>197</v>
      </c>
      <c r="C51" s="107" t="s">
        <v>114</v>
      </c>
      <c r="D51" s="86">
        <f>Tabela14[[#This Row],[QTD TOTAL]]/12</f>
        <v>1.6666666666666667</v>
      </c>
      <c r="E51" s="41">
        <v>20</v>
      </c>
      <c r="F51" s="90">
        <v>32.340000000000003</v>
      </c>
      <c r="G51" s="30">
        <f>F51*Tabela14[[#This Row],[QTD MENSAL]]</f>
        <v>53.900000000000006</v>
      </c>
      <c r="H51" s="30">
        <f t="shared" si="0"/>
        <v>646.80000000000007</v>
      </c>
      <c r="I51" s="108"/>
    </row>
    <row r="52" spans="1:9" ht="15" x14ac:dyDescent="0.25">
      <c r="A52" s="40">
        <v>49</v>
      </c>
      <c r="B52" s="103" t="s">
        <v>198</v>
      </c>
      <c r="C52" s="105" t="s">
        <v>114</v>
      </c>
      <c r="D52" s="86">
        <f>Tabela14[[#This Row],[QTD TOTAL]]/12</f>
        <v>4</v>
      </c>
      <c r="E52" s="41">
        <v>48</v>
      </c>
      <c r="F52" s="90">
        <v>12.5</v>
      </c>
      <c r="G52" s="30">
        <f>F52*Tabela14[[#This Row],[QTD MENSAL]]</f>
        <v>50</v>
      </c>
      <c r="H52" s="30">
        <f t="shared" si="0"/>
        <v>600</v>
      </c>
      <c r="I52" s="108"/>
    </row>
    <row r="53" spans="1:9" ht="15" x14ac:dyDescent="0.25">
      <c r="A53" s="40">
        <v>50</v>
      </c>
      <c r="B53" s="103" t="s">
        <v>199</v>
      </c>
      <c r="C53" s="105" t="s">
        <v>231</v>
      </c>
      <c r="D53" s="86">
        <f>Tabela14[[#This Row],[QTD TOTAL]]/12</f>
        <v>5</v>
      </c>
      <c r="E53" s="41">
        <v>60</v>
      </c>
      <c r="F53" s="90">
        <v>3.17</v>
      </c>
      <c r="G53" s="30">
        <f>F53*Tabela14[[#This Row],[QTD MENSAL]]</f>
        <v>15.85</v>
      </c>
      <c r="H53" s="30">
        <f t="shared" si="0"/>
        <v>190.2</v>
      </c>
      <c r="I53" s="108"/>
    </row>
    <row r="54" spans="1:9" ht="15" x14ac:dyDescent="0.25">
      <c r="A54" s="40">
        <v>51</v>
      </c>
      <c r="B54" s="103" t="s">
        <v>200</v>
      </c>
      <c r="C54" s="105" t="s">
        <v>114</v>
      </c>
      <c r="D54" s="86">
        <f>Tabela14[[#This Row],[QTD TOTAL]]/12</f>
        <v>30</v>
      </c>
      <c r="E54" s="41">
        <v>360</v>
      </c>
      <c r="F54" s="90">
        <v>4.9400000000000004</v>
      </c>
      <c r="G54" s="30">
        <f>F54*Tabela14[[#This Row],[QTD MENSAL]]</f>
        <v>148.20000000000002</v>
      </c>
      <c r="H54" s="30">
        <f t="shared" si="0"/>
        <v>1778.4</v>
      </c>
      <c r="I54" s="108"/>
    </row>
    <row r="55" spans="1:9" ht="15" x14ac:dyDescent="0.25">
      <c r="A55" s="40">
        <v>52</v>
      </c>
      <c r="B55" s="103" t="s">
        <v>201</v>
      </c>
      <c r="C55" s="105" t="s">
        <v>114</v>
      </c>
      <c r="D55" s="86">
        <f>Tabela14[[#This Row],[QTD TOTAL]]/12</f>
        <v>1</v>
      </c>
      <c r="E55" s="41">
        <v>12</v>
      </c>
      <c r="F55" s="90">
        <v>4.88</v>
      </c>
      <c r="G55" s="30">
        <f>F55*Tabela14[[#This Row],[QTD MENSAL]]</f>
        <v>4.88</v>
      </c>
      <c r="H55" s="30">
        <f t="shared" si="0"/>
        <v>58.56</v>
      </c>
      <c r="I55" s="108"/>
    </row>
    <row r="56" spans="1:9" ht="15" x14ac:dyDescent="0.25">
      <c r="A56" s="40">
        <v>53</v>
      </c>
      <c r="B56" s="103" t="s">
        <v>202</v>
      </c>
      <c r="C56" s="105" t="s">
        <v>114</v>
      </c>
      <c r="D56" s="86">
        <f>Tabela14[[#This Row],[QTD TOTAL]]/12</f>
        <v>2</v>
      </c>
      <c r="E56" s="41">
        <v>24</v>
      </c>
      <c r="F56" s="90">
        <v>19.920000000000002</v>
      </c>
      <c r="G56" s="30">
        <f>F56*Tabela14[[#This Row],[QTD MENSAL]]</f>
        <v>39.840000000000003</v>
      </c>
      <c r="H56" s="30">
        <f t="shared" si="0"/>
        <v>478.08000000000004</v>
      </c>
      <c r="I56" s="108"/>
    </row>
    <row r="57" spans="1:9" ht="15" x14ac:dyDescent="0.25">
      <c r="A57" s="40">
        <v>54</v>
      </c>
      <c r="B57" s="103" t="s">
        <v>203</v>
      </c>
      <c r="C57" s="105" t="s">
        <v>232</v>
      </c>
      <c r="D57" s="86">
        <f>Tabela14[[#This Row],[QTD TOTAL]]/12</f>
        <v>45.833333333333336</v>
      </c>
      <c r="E57" s="41">
        <v>550</v>
      </c>
      <c r="F57" s="90">
        <v>13.43</v>
      </c>
      <c r="G57" s="30">
        <f>F57*Tabela14[[#This Row],[QTD MENSAL]]</f>
        <v>615.54166666666663</v>
      </c>
      <c r="H57" s="30">
        <f t="shared" si="0"/>
        <v>7386.5</v>
      </c>
      <c r="I57" s="108"/>
    </row>
    <row r="58" spans="1:9" ht="15" x14ac:dyDescent="0.25">
      <c r="A58" s="40">
        <v>55</v>
      </c>
      <c r="B58" s="103" t="s">
        <v>204</v>
      </c>
      <c r="C58" s="105" t="s">
        <v>232</v>
      </c>
      <c r="D58" s="86">
        <f>Tabela14[[#This Row],[QTD TOTAL]]/12</f>
        <v>75</v>
      </c>
      <c r="E58" s="41">
        <v>900</v>
      </c>
      <c r="F58" s="90">
        <v>12.05</v>
      </c>
      <c r="G58" s="30">
        <f>F58*Tabela14[[#This Row],[QTD MENSAL]]</f>
        <v>903.75</v>
      </c>
      <c r="H58" s="30">
        <f t="shared" si="0"/>
        <v>10845</v>
      </c>
      <c r="I58" s="108"/>
    </row>
    <row r="59" spans="1:9" ht="15" x14ac:dyDescent="0.25">
      <c r="A59" s="40">
        <v>56</v>
      </c>
      <c r="B59" s="103" t="s">
        <v>205</v>
      </c>
      <c r="C59" s="105" t="s">
        <v>114</v>
      </c>
      <c r="D59" s="86">
        <f>Tabela14[[#This Row],[QTD TOTAL]]/12</f>
        <v>1</v>
      </c>
      <c r="E59" s="41">
        <v>12</v>
      </c>
      <c r="F59" s="90">
        <v>13.65</v>
      </c>
      <c r="G59" s="30">
        <f>F59*Tabela14[[#This Row],[QTD MENSAL]]</f>
        <v>13.65</v>
      </c>
      <c r="H59" s="30">
        <f t="shared" si="0"/>
        <v>163.80000000000001</v>
      </c>
      <c r="I59" s="108"/>
    </row>
    <row r="60" spans="1:9" ht="15" x14ac:dyDescent="0.25">
      <c r="A60" s="40">
        <v>57</v>
      </c>
      <c r="B60" s="103" t="s">
        <v>206</v>
      </c>
      <c r="C60" s="105" t="s">
        <v>114</v>
      </c>
      <c r="D60" s="86">
        <f>Tabela14[[#This Row],[QTD TOTAL]]/12</f>
        <v>8.3333333333333339</v>
      </c>
      <c r="E60" s="41">
        <v>100</v>
      </c>
      <c r="F60" s="90">
        <v>26.29</v>
      </c>
      <c r="G60" s="30">
        <f>F60*Tabela14[[#This Row],[QTD MENSAL]]</f>
        <v>219.08333333333334</v>
      </c>
      <c r="H60" s="30">
        <f t="shared" si="0"/>
        <v>2629</v>
      </c>
      <c r="I60" s="108"/>
    </row>
    <row r="61" spans="1:9" ht="15" x14ac:dyDescent="0.25">
      <c r="A61" s="40">
        <v>58</v>
      </c>
      <c r="B61" s="103" t="s">
        <v>207</v>
      </c>
      <c r="C61" s="105" t="s">
        <v>114</v>
      </c>
      <c r="D61" s="86">
        <f>Tabela14[[#This Row],[QTD TOTAL]]/12</f>
        <v>4.166666666666667</v>
      </c>
      <c r="E61" s="41">
        <v>50</v>
      </c>
      <c r="F61" s="90">
        <v>27</v>
      </c>
      <c r="G61" s="30">
        <f>F61*Tabela14[[#This Row],[QTD MENSAL]]</f>
        <v>112.50000000000001</v>
      </c>
      <c r="H61" s="30">
        <f t="shared" si="0"/>
        <v>1350</v>
      </c>
      <c r="I61" s="108"/>
    </row>
    <row r="62" spans="1:9" ht="15" x14ac:dyDescent="0.25">
      <c r="A62" s="40">
        <v>59</v>
      </c>
      <c r="B62" s="103" t="s">
        <v>208</v>
      </c>
      <c r="C62" s="105" t="s">
        <v>114</v>
      </c>
      <c r="D62" s="86">
        <f>Tabela14[[#This Row],[QTD TOTAL]]/12</f>
        <v>0.5</v>
      </c>
      <c r="E62" s="41">
        <v>6</v>
      </c>
      <c r="F62" s="90">
        <v>12.57</v>
      </c>
      <c r="G62" s="30">
        <f>F62*Tabela14[[#This Row],[QTD MENSAL]]</f>
        <v>6.2850000000000001</v>
      </c>
      <c r="H62" s="30">
        <f t="shared" si="0"/>
        <v>75.42</v>
      </c>
      <c r="I62" s="108"/>
    </row>
    <row r="63" spans="1:9" ht="15" x14ac:dyDescent="0.25">
      <c r="A63" s="40">
        <v>60</v>
      </c>
      <c r="B63" s="103" t="s">
        <v>209</v>
      </c>
      <c r="C63" s="105" t="s">
        <v>114</v>
      </c>
      <c r="D63" s="86">
        <f>Tabela14[[#This Row],[QTD TOTAL]]/12</f>
        <v>20</v>
      </c>
      <c r="E63" s="41">
        <v>240</v>
      </c>
      <c r="F63" s="90">
        <v>36.69</v>
      </c>
      <c r="G63" s="30">
        <f>F63*Tabela14[[#This Row],[QTD MENSAL]]</f>
        <v>733.8</v>
      </c>
      <c r="H63" s="30">
        <f t="shared" si="0"/>
        <v>8805.5999999999985</v>
      </c>
      <c r="I63" s="108"/>
    </row>
    <row r="64" spans="1:9" ht="15" x14ac:dyDescent="0.25">
      <c r="A64" s="40">
        <v>61</v>
      </c>
      <c r="B64" s="103" t="s">
        <v>210</v>
      </c>
      <c r="C64" s="105" t="s">
        <v>114</v>
      </c>
      <c r="D64" s="86">
        <f>Tabela14[[#This Row],[QTD TOTAL]]/12</f>
        <v>4</v>
      </c>
      <c r="E64" s="41">
        <v>48</v>
      </c>
      <c r="F64" s="90">
        <v>8.61</v>
      </c>
      <c r="G64" s="30">
        <f>F64*Tabela14[[#This Row],[QTD MENSAL]]</f>
        <v>34.44</v>
      </c>
      <c r="H64" s="30">
        <f t="shared" si="0"/>
        <v>413.28</v>
      </c>
      <c r="I64" s="108"/>
    </row>
    <row r="65" spans="1:9" ht="15" x14ac:dyDescent="0.25">
      <c r="A65" s="40">
        <v>62</v>
      </c>
      <c r="B65" s="103" t="s">
        <v>211</v>
      </c>
      <c r="C65" s="105" t="s">
        <v>114</v>
      </c>
      <c r="D65" s="86">
        <f>Tabela14[[#This Row],[QTD TOTAL]]/12</f>
        <v>4</v>
      </c>
      <c r="E65" s="41">
        <v>48</v>
      </c>
      <c r="F65" s="90">
        <v>8.61</v>
      </c>
      <c r="G65" s="30">
        <f>F65*Tabela14[[#This Row],[QTD MENSAL]]</f>
        <v>34.44</v>
      </c>
      <c r="H65" s="30">
        <f t="shared" si="0"/>
        <v>413.28</v>
      </c>
      <c r="I65" s="108"/>
    </row>
    <row r="66" spans="1:9" ht="15" x14ac:dyDescent="0.25">
      <c r="A66" s="40">
        <v>63</v>
      </c>
      <c r="B66" s="103" t="s">
        <v>212</v>
      </c>
      <c r="C66" s="105" t="s">
        <v>114</v>
      </c>
      <c r="D66" s="86">
        <f>Tabela14[[#This Row],[QTD TOTAL]]/12</f>
        <v>5</v>
      </c>
      <c r="E66" s="41">
        <v>60</v>
      </c>
      <c r="F66" s="90">
        <v>2.9</v>
      </c>
      <c r="G66" s="30">
        <f>F66*Tabela14[[#This Row],[QTD MENSAL]]</f>
        <v>14.5</v>
      </c>
      <c r="H66" s="30">
        <f t="shared" si="0"/>
        <v>174</v>
      </c>
      <c r="I66" s="108"/>
    </row>
    <row r="67" spans="1:9" ht="15" x14ac:dyDescent="0.25">
      <c r="A67" s="40">
        <v>64</v>
      </c>
      <c r="B67" s="103" t="s">
        <v>213</v>
      </c>
      <c r="C67" s="105" t="s">
        <v>231</v>
      </c>
      <c r="D67" s="86">
        <f>Tabela14[[#This Row],[QTD TOTAL]]/12</f>
        <v>8.3333333333333339</v>
      </c>
      <c r="E67" s="41">
        <v>100</v>
      </c>
      <c r="F67" s="90">
        <v>4.1900000000000004</v>
      </c>
      <c r="G67" s="30">
        <f>F67*Tabela14[[#This Row],[QTD MENSAL]]</f>
        <v>34.916666666666671</v>
      </c>
      <c r="H67" s="30">
        <f t="shared" si="0"/>
        <v>419.00000000000006</v>
      </c>
      <c r="I67" s="108"/>
    </row>
    <row r="68" spans="1:9" ht="15" x14ac:dyDescent="0.25">
      <c r="A68" s="40">
        <v>65</v>
      </c>
      <c r="B68" s="103" t="s">
        <v>214</v>
      </c>
      <c r="C68" s="105" t="s">
        <v>227</v>
      </c>
      <c r="D68" s="86">
        <f>Tabela14[[#This Row],[QTD TOTAL]]/12</f>
        <v>26.666666666666668</v>
      </c>
      <c r="E68" s="41">
        <v>320</v>
      </c>
      <c r="F68" s="90">
        <v>22.9</v>
      </c>
      <c r="G68" s="30">
        <f>F68*Tabela14[[#This Row],[QTD MENSAL]]</f>
        <v>610.66666666666663</v>
      </c>
      <c r="H68" s="30">
        <f t="shared" si="0"/>
        <v>7328</v>
      </c>
      <c r="I68" s="108"/>
    </row>
    <row r="69" spans="1:9" ht="30" x14ac:dyDescent="0.25">
      <c r="A69" s="40">
        <v>66</v>
      </c>
      <c r="B69" s="103" t="s">
        <v>215</v>
      </c>
      <c r="C69" s="105" t="s">
        <v>231</v>
      </c>
      <c r="D69" s="86">
        <f>Tabela14[[#This Row],[QTD TOTAL]]/12</f>
        <v>100</v>
      </c>
      <c r="E69" s="41">
        <v>1200</v>
      </c>
      <c r="F69" s="90">
        <v>3.14</v>
      </c>
      <c r="G69" s="30">
        <f>F69*Tabela14[[#This Row],[QTD MENSAL]]</f>
        <v>314</v>
      </c>
      <c r="H69" s="30">
        <f t="shared" si="0"/>
        <v>3768</v>
      </c>
      <c r="I69" s="108"/>
    </row>
    <row r="70" spans="1:9" ht="45" x14ac:dyDescent="0.25">
      <c r="A70" s="40">
        <v>67</v>
      </c>
      <c r="B70" s="103" t="s">
        <v>216</v>
      </c>
      <c r="C70" s="105" t="s">
        <v>231</v>
      </c>
      <c r="D70" s="86">
        <f>Tabela14[[#This Row],[QTD TOTAL]]/12</f>
        <v>100</v>
      </c>
      <c r="E70" s="41">
        <v>1200</v>
      </c>
      <c r="F70" s="90">
        <v>10.48</v>
      </c>
      <c r="G70" s="30">
        <f>F70*Tabela14[[#This Row],[QTD MENSAL]]</f>
        <v>1048</v>
      </c>
      <c r="H70" s="30">
        <f t="shared" ref="H70:H74" si="3">F70*E70</f>
        <v>12576</v>
      </c>
      <c r="I70" s="108"/>
    </row>
    <row r="71" spans="1:9" ht="45" x14ac:dyDescent="0.25">
      <c r="A71" s="40">
        <v>68</v>
      </c>
      <c r="B71" s="103" t="s">
        <v>217</v>
      </c>
      <c r="C71" s="105" t="s">
        <v>231</v>
      </c>
      <c r="D71" s="86">
        <f>Tabela14[[#This Row],[QTD TOTAL]]/12</f>
        <v>100</v>
      </c>
      <c r="E71" s="41">
        <v>1200</v>
      </c>
      <c r="F71" s="90">
        <v>6.72</v>
      </c>
      <c r="G71" s="30">
        <f>F71*Tabela14[[#This Row],[QTD MENSAL]]</f>
        <v>672</v>
      </c>
      <c r="H71" s="30">
        <f t="shared" si="3"/>
        <v>8064</v>
      </c>
      <c r="I71" s="108"/>
    </row>
    <row r="72" spans="1:9" ht="45" x14ac:dyDescent="0.25">
      <c r="A72" s="40">
        <v>69</v>
      </c>
      <c r="B72" s="103" t="s">
        <v>218</v>
      </c>
      <c r="C72" s="105" t="s">
        <v>231</v>
      </c>
      <c r="D72" s="86">
        <f>Tabela14[[#This Row],[QTD TOTAL]]/12</f>
        <v>100</v>
      </c>
      <c r="E72" s="41">
        <v>1200</v>
      </c>
      <c r="F72" s="90">
        <v>2.62</v>
      </c>
      <c r="G72" s="30">
        <f>F72*Tabela14[[#This Row],[QTD MENSAL]]</f>
        <v>262</v>
      </c>
      <c r="H72" s="30">
        <f t="shared" si="3"/>
        <v>3144</v>
      </c>
      <c r="I72" s="108"/>
    </row>
    <row r="73" spans="1:9" ht="15" x14ac:dyDescent="0.25">
      <c r="A73" s="40">
        <v>70</v>
      </c>
      <c r="B73" s="103" t="s">
        <v>219</v>
      </c>
      <c r="C73" s="105" t="s">
        <v>114</v>
      </c>
      <c r="D73" s="86">
        <f>Tabela14[[#This Row],[QTD TOTAL]]/12</f>
        <v>8.3333333333333329E-2</v>
      </c>
      <c r="E73" s="41">
        <v>1</v>
      </c>
      <c r="F73" s="90">
        <v>47.03</v>
      </c>
      <c r="G73" s="30">
        <f>F73*Tabela14[[#This Row],[QTD MENSAL]]</f>
        <v>3.9191666666666665</v>
      </c>
      <c r="H73" s="30">
        <f t="shared" si="3"/>
        <v>47.03</v>
      </c>
      <c r="I73" s="108"/>
    </row>
    <row r="74" spans="1:9" ht="15" x14ac:dyDescent="0.25">
      <c r="A74" s="40">
        <v>71</v>
      </c>
      <c r="B74" s="103" t="s">
        <v>220</v>
      </c>
      <c r="C74" s="105" t="s">
        <v>114</v>
      </c>
      <c r="D74" s="86">
        <f>Tabela14[[#This Row],[QTD TOTAL]]/12</f>
        <v>20</v>
      </c>
      <c r="E74" s="41">
        <v>240</v>
      </c>
      <c r="F74" s="90">
        <v>14.7</v>
      </c>
      <c r="G74" s="30">
        <f>F74*Tabela14[[#This Row],[QTD MENSAL]]</f>
        <v>294</v>
      </c>
      <c r="H74" s="30">
        <f t="shared" si="3"/>
        <v>3528</v>
      </c>
      <c r="I74" s="108"/>
    </row>
    <row r="75" spans="1:9" ht="15" x14ac:dyDescent="0.25">
      <c r="A75" s="40">
        <v>72</v>
      </c>
      <c r="B75" s="103" t="s">
        <v>221</v>
      </c>
      <c r="C75" s="105" t="s">
        <v>114</v>
      </c>
      <c r="D75" s="86">
        <f>Tabela14[[#This Row],[QTD TOTAL]]/12</f>
        <v>5</v>
      </c>
      <c r="E75" s="41">
        <v>60</v>
      </c>
      <c r="F75" s="90">
        <v>21.78</v>
      </c>
      <c r="G75" s="30">
        <f>F75*Tabela14[[#This Row],[QTD MENSAL]]</f>
        <v>108.9</v>
      </c>
      <c r="H75" s="30">
        <f t="shared" ref="H75:H78" si="4">F75*E75</f>
        <v>1306.8000000000002</v>
      </c>
      <c r="I75" s="108"/>
    </row>
    <row r="76" spans="1:9" ht="15" x14ac:dyDescent="0.25">
      <c r="A76" s="40">
        <v>73</v>
      </c>
      <c r="B76" s="103" t="s">
        <v>222</v>
      </c>
      <c r="C76" s="105" t="s">
        <v>114</v>
      </c>
      <c r="D76" s="86">
        <f>Tabela14[[#This Row],[QTD TOTAL]]/12</f>
        <v>2</v>
      </c>
      <c r="E76" s="41">
        <v>24</v>
      </c>
      <c r="F76" s="90">
        <v>15.99</v>
      </c>
      <c r="G76" s="30">
        <f>F76*Tabela14[[#This Row],[QTD MENSAL]]</f>
        <v>31.98</v>
      </c>
      <c r="H76" s="30">
        <f t="shared" si="4"/>
        <v>383.76</v>
      </c>
      <c r="I76" s="108"/>
    </row>
    <row r="77" spans="1:9" ht="30" x14ac:dyDescent="0.25">
      <c r="A77" s="40">
        <v>74</v>
      </c>
      <c r="B77" s="103" t="s">
        <v>223</v>
      </c>
      <c r="C77" s="105" t="s">
        <v>114</v>
      </c>
      <c r="D77" s="86">
        <f>Tabela14[[#This Row],[QTD TOTAL]]/12</f>
        <v>20</v>
      </c>
      <c r="E77" s="41">
        <v>240</v>
      </c>
      <c r="F77" s="90">
        <v>32.92</v>
      </c>
      <c r="G77" s="30">
        <f>F77*Tabela14[[#This Row],[QTD MENSAL]]</f>
        <v>658.40000000000009</v>
      </c>
      <c r="H77" s="30">
        <f t="shared" si="4"/>
        <v>7900.8</v>
      </c>
      <c r="I77" s="108"/>
    </row>
    <row r="78" spans="1:9" ht="15" x14ac:dyDescent="0.25">
      <c r="A78" s="40">
        <v>75</v>
      </c>
      <c r="B78" s="103" t="s">
        <v>224</v>
      </c>
      <c r="C78" s="107" t="s">
        <v>114</v>
      </c>
      <c r="D78" s="86">
        <f>Tabela14[[#This Row],[QTD TOTAL]]/12</f>
        <v>20</v>
      </c>
      <c r="E78" s="41">
        <v>240</v>
      </c>
      <c r="F78" s="90">
        <v>5.92</v>
      </c>
      <c r="G78" s="30">
        <f>F78*Tabela14[[#This Row],[QTD MENSAL]]</f>
        <v>118.4</v>
      </c>
      <c r="H78" s="30">
        <f t="shared" si="4"/>
        <v>1420.8</v>
      </c>
      <c r="I78" s="108"/>
    </row>
    <row r="79" spans="1:9" ht="15" x14ac:dyDescent="0.25">
      <c r="A79" s="40">
        <v>76</v>
      </c>
      <c r="B79" s="103" t="s">
        <v>225</v>
      </c>
      <c r="C79" s="107" t="s">
        <v>114</v>
      </c>
      <c r="D79" s="86">
        <f>Tabela14[[#This Row],[QTD TOTAL]]/12</f>
        <v>5</v>
      </c>
      <c r="E79" s="41">
        <v>60</v>
      </c>
      <c r="F79" s="90">
        <v>15.23</v>
      </c>
      <c r="G79" s="30">
        <f>F79*Tabela14[[#This Row],[QTD MENSAL]]</f>
        <v>76.150000000000006</v>
      </c>
      <c r="H79" s="30">
        <f t="shared" ref="H79:H80" si="5">F79*E79</f>
        <v>913.80000000000007</v>
      </c>
      <c r="I79" s="108"/>
    </row>
    <row r="80" spans="1:9" ht="15" x14ac:dyDescent="0.25">
      <c r="A80" s="40">
        <v>77</v>
      </c>
      <c r="B80" s="103" t="s">
        <v>226</v>
      </c>
      <c r="C80" s="107" t="s">
        <v>114</v>
      </c>
      <c r="D80" s="86">
        <f>Tabela14[[#This Row],[QTD TOTAL]]/12</f>
        <v>1.6666666666666667</v>
      </c>
      <c r="E80" s="41">
        <v>20</v>
      </c>
      <c r="F80" s="90">
        <v>31.76</v>
      </c>
      <c r="G80" s="30">
        <f>F80*Tabela14[[#This Row],[QTD MENSAL]]</f>
        <v>52.933333333333337</v>
      </c>
      <c r="H80" s="30">
        <f t="shared" si="5"/>
        <v>635.20000000000005</v>
      </c>
      <c r="I80" s="108"/>
    </row>
    <row r="81" spans="1:10" ht="15" x14ac:dyDescent="0.25">
      <c r="A81" s="40"/>
      <c r="B81" s="85"/>
      <c r="C81" s="89"/>
      <c r="D81" s="87"/>
      <c r="E81" s="41"/>
      <c r="F81" s="88"/>
      <c r="G81" s="42"/>
      <c r="H81" s="42"/>
      <c r="I81" s="108">
        <f>Tabela14[[#This Row],[QTD MENSAL]]</f>
        <v>0</v>
      </c>
    </row>
    <row r="82" spans="1:10" ht="15" x14ac:dyDescent="0.25">
      <c r="A82" s="40"/>
      <c r="B82" s="85"/>
      <c r="C82" s="89"/>
      <c r="D82" s="87"/>
      <c r="E82" s="41"/>
      <c r="F82" s="88"/>
      <c r="G82" s="42"/>
      <c r="H82" s="42"/>
      <c r="I82" s="108">
        <f>Tabela14[[#This Row],[QTD MENSAL]]</f>
        <v>0</v>
      </c>
    </row>
    <row r="83" spans="1:10" ht="15" x14ac:dyDescent="0.25">
      <c r="A83" s="40"/>
      <c r="B83" s="85"/>
      <c r="C83" s="89"/>
      <c r="D83" s="87"/>
      <c r="E83" s="41"/>
      <c r="F83" s="88"/>
      <c r="G83" s="42"/>
      <c r="H83" s="42"/>
      <c r="I83" s="108">
        <f>Tabela14[[#This Row],[QTD MENSAL]]</f>
        <v>0</v>
      </c>
    </row>
    <row r="84" spans="1:10" ht="15" x14ac:dyDescent="0.25">
      <c r="A84" s="40"/>
      <c r="B84" s="100"/>
      <c r="C84" s="85"/>
      <c r="D84" s="87"/>
      <c r="E84" s="41"/>
      <c r="F84" s="101"/>
      <c r="G84" s="42"/>
      <c r="H84" s="42"/>
      <c r="I84" s="108">
        <f>Tabela14[[#This Row],[QTD MENSAL]]</f>
        <v>0</v>
      </c>
    </row>
    <row r="85" spans="1:10" ht="15" x14ac:dyDescent="0.25">
      <c r="A85" s="40"/>
      <c r="B85" s="85"/>
      <c r="C85" s="89"/>
      <c r="D85" s="87"/>
      <c r="E85" s="41"/>
      <c r="F85" s="88"/>
      <c r="G85" s="42"/>
      <c r="H85" s="42"/>
      <c r="I85" s="108">
        <f>Tabela14[[#This Row],[QTD MENSAL]]</f>
        <v>0</v>
      </c>
    </row>
    <row r="86" spans="1:10" ht="22.5" customHeight="1" x14ac:dyDescent="0.25">
      <c r="A86" s="156"/>
      <c r="B86" s="157" t="s">
        <v>120</v>
      </c>
      <c r="C86" s="158"/>
      <c r="D86" s="159"/>
      <c r="E86" s="160"/>
      <c r="F86" s="161"/>
      <c r="G86" s="162">
        <f>SUBTOTAL(109,Tabela14[CUSTO MÉDIO MENSAL (R$)])</f>
        <v>16745.810000000005</v>
      </c>
      <c r="H86" s="162">
        <f>SUBTOTAL(109,Tabela14[CUSTO MÉDIO ANUAL (R$)])</f>
        <v>200949.72</v>
      </c>
      <c r="I86"/>
    </row>
    <row r="88" spans="1:10" x14ac:dyDescent="0.2">
      <c r="J88" s="108">
        <f>Tabela14[[#Totals],[CUSTO MÉDIO ANUAL (R$)]]/12</f>
        <v>16745.810000000001</v>
      </c>
    </row>
    <row r="91" spans="1:10" x14ac:dyDescent="0.2">
      <c r="C91" s="77"/>
    </row>
  </sheetData>
  <mergeCells count="1">
    <mergeCell ref="A1:H1"/>
  </mergeCells>
  <pageMargins left="0.511811024" right="0.511811024" top="0.78740157499999996" bottom="0.78740157499999996" header="0.31496062000000002" footer="0.31496062000000002"/>
  <pageSetup paperSize="8" scale="65" orientation="landscape" r:id="rId1"/>
  <colBreaks count="1" manualBreakCount="1">
    <brk id="8" max="1048575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showGridLines="0" topLeftCell="A7" zoomScaleNormal="100" workbookViewId="0">
      <selection activeCell="D13" sqref="D13"/>
    </sheetView>
  </sheetViews>
  <sheetFormatPr defaultRowHeight="15.75" x14ac:dyDescent="0.25"/>
  <cols>
    <col min="1" max="1" width="9.140625" style="11"/>
    <col min="2" max="2" width="72.140625" style="11" customWidth="1"/>
    <col min="3" max="3" width="18" style="11" customWidth="1"/>
    <col min="4" max="4" width="14.28515625" style="11" customWidth="1"/>
    <col min="5" max="5" width="12.7109375" style="11" customWidth="1"/>
    <col min="6" max="6" width="12" style="11" customWidth="1"/>
    <col min="7" max="7" width="15.140625" style="11" customWidth="1"/>
    <col min="8" max="16384" width="9.140625" style="11"/>
  </cols>
  <sheetData>
    <row r="1" spans="1:4" ht="23.25" x14ac:dyDescent="0.35">
      <c r="A1" s="201" t="s">
        <v>81</v>
      </c>
      <c r="B1" s="201"/>
      <c r="C1" s="201"/>
      <c r="D1" s="201"/>
    </row>
    <row r="2" spans="1:4" ht="23.25" x14ac:dyDescent="0.35">
      <c r="A2" s="201" t="s">
        <v>82</v>
      </c>
      <c r="B2" s="201"/>
      <c r="C2" s="201"/>
      <c r="D2" s="201"/>
    </row>
    <row r="3" spans="1:4" x14ac:dyDescent="0.25">
      <c r="A3" s="202" t="s">
        <v>83</v>
      </c>
      <c r="B3" s="202"/>
      <c r="C3" s="202"/>
      <c r="D3" s="202"/>
    </row>
    <row r="6" spans="1:4" x14ac:dyDescent="0.25">
      <c r="A6" s="203" t="s">
        <v>12</v>
      </c>
      <c r="B6" s="203"/>
      <c r="C6" s="203"/>
    </row>
    <row r="7" spans="1:4" ht="16.5" thickBot="1" x14ac:dyDescent="0.3"/>
    <row r="8" spans="1:4" ht="16.5" thickBot="1" x14ac:dyDescent="0.3">
      <c r="A8" s="3">
        <v>1</v>
      </c>
      <c r="B8" s="32" t="s">
        <v>13</v>
      </c>
      <c r="C8" s="32" t="s">
        <v>14</v>
      </c>
    </row>
    <row r="9" spans="1:4" ht="16.5" thickBot="1" x14ac:dyDescent="0.3">
      <c r="A9" s="5" t="s">
        <v>15</v>
      </c>
      <c r="B9" s="6" t="s">
        <v>16</v>
      </c>
      <c r="C9" s="13">
        <v>1725.09</v>
      </c>
    </row>
    <row r="10" spans="1:4" ht="16.5" thickBot="1" x14ac:dyDescent="0.3">
      <c r="A10" s="5" t="s">
        <v>17</v>
      </c>
      <c r="B10" s="6" t="s">
        <v>18</v>
      </c>
      <c r="C10" s="13"/>
    </row>
    <row r="11" spans="1:4" ht="16.5" thickBot="1" x14ac:dyDescent="0.3">
      <c r="A11" s="5" t="s">
        <v>19</v>
      </c>
      <c r="B11" s="6" t="s">
        <v>20</v>
      </c>
      <c r="C11" s="13"/>
    </row>
    <row r="12" spans="1:4" ht="16.5" thickBot="1" x14ac:dyDescent="0.3">
      <c r="A12" s="5" t="s">
        <v>21</v>
      </c>
      <c r="B12" s="6" t="s">
        <v>0</v>
      </c>
      <c r="C12" s="13"/>
    </row>
    <row r="13" spans="1:4" ht="16.5" thickBot="1" x14ac:dyDescent="0.3">
      <c r="A13" s="5" t="s">
        <v>22</v>
      </c>
      <c r="B13" s="6" t="s">
        <v>23</v>
      </c>
      <c r="C13" s="13"/>
    </row>
    <row r="14" spans="1:4" ht="16.5" thickBot="1" x14ac:dyDescent="0.3">
      <c r="A14" s="5"/>
      <c r="B14" s="6"/>
      <c r="C14" s="13"/>
    </row>
    <row r="15" spans="1:4" ht="16.5" thickBot="1" x14ac:dyDescent="0.3">
      <c r="A15" s="5" t="s">
        <v>25</v>
      </c>
      <c r="B15" s="6" t="s">
        <v>26</v>
      </c>
      <c r="C15" s="13"/>
    </row>
    <row r="16" spans="1:4" ht="16.5" thickBot="1" x14ac:dyDescent="0.3">
      <c r="A16" s="194" t="s">
        <v>1</v>
      </c>
      <c r="B16" s="195"/>
      <c r="C16" s="13">
        <f>C9</f>
        <v>1725.09</v>
      </c>
    </row>
    <row r="19" spans="1:4" x14ac:dyDescent="0.25">
      <c r="A19" s="197" t="s">
        <v>27</v>
      </c>
      <c r="B19" s="197"/>
      <c r="C19" s="197"/>
    </row>
    <row r="20" spans="1:4" x14ac:dyDescent="0.25">
      <c r="A20" s="2"/>
    </row>
    <row r="21" spans="1:4" x14ac:dyDescent="0.25">
      <c r="A21" s="196" t="s">
        <v>28</v>
      </c>
      <c r="B21" s="196"/>
      <c r="C21" s="196"/>
    </row>
    <row r="22" spans="1:4" ht="16.5" thickBot="1" x14ac:dyDescent="0.3"/>
    <row r="23" spans="1:4" ht="16.5" thickBot="1" x14ac:dyDescent="0.3">
      <c r="A23" s="3" t="s">
        <v>29</v>
      </c>
      <c r="B23" s="32" t="s">
        <v>30</v>
      </c>
      <c r="C23" s="32" t="s">
        <v>14</v>
      </c>
    </row>
    <row r="24" spans="1:4" ht="16.5" thickBot="1" x14ac:dyDescent="0.3">
      <c r="A24" s="5" t="s">
        <v>15</v>
      </c>
      <c r="B24" s="6" t="s">
        <v>31</v>
      </c>
      <c r="C24" s="13">
        <f>(C16/12)</f>
        <v>143.75749999999999</v>
      </c>
    </row>
    <row r="25" spans="1:4" ht="16.5" thickBot="1" x14ac:dyDescent="0.3">
      <c r="A25" s="5" t="s">
        <v>17</v>
      </c>
      <c r="B25" s="6" t="s">
        <v>32</v>
      </c>
      <c r="C25" s="13">
        <f>(C16/12)+(C16/3)/12</f>
        <v>191.67666666666665</v>
      </c>
    </row>
    <row r="26" spans="1:4" ht="16.5" thickBot="1" x14ac:dyDescent="0.3">
      <c r="A26" s="194" t="s">
        <v>1</v>
      </c>
      <c r="B26" s="195"/>
      <c r="C26" s="14">
        <f>SUM(C24:C25)</f>
        <v>335.43416666666667</v>
      </c>
    </row>
    <row r="29" spans="1:4" ht="32.25" customHeight="1" x14ac:dyDescent="0.25">
      <c r="A29" s="198" t="s">
        <v>33</v>
      </c>
      <c r="B29" s="198"/>
      <c r="C29" s="198"/>
      <c r="D29" s="198"/>
    </row>
    <row r="30" spans="1:4" ht="16.5" thickBot="1" x14ac:dyDescent="0.3"/>
    <row r="31" spans="1:4" ht="16.5" thickBot="1" x14ac:dyDescent="0.3">
      <c r="A31" s="3" t="s">
        <v>34</v>
      </c>
      <c r="B31" s="32" t="s">
        <v>35</v>
      </c>
      <c r="C31" s="32" t="s">
        <v>36</v>
      </c>
      <c r="D31" s="32" t="s">
        <v>14</v>
      </c>
    </row>
    <row r="32" spans="1:4" ht="16.5" thickBot="1" x14ac:dyDescent="0.3">
      <c r="A32" s="5" t="s">
        <v>15</v>
      </c>
      <c r="B32" s="6" t="s">
        <v>37</v>
      </c>
      <c r="C32" s="8">
        <v>0.2</v>
      </c>
      <c r="D32" s="13">
        <f>($C$16+$C$26)*C32</f>
        <v>412.10483333333332</v>
      </c>
    </row>
    <row r="33" spans="1:4" ht="16.5" thickBot="1" x14ac:dyDescent="0.3">
      <c r="A33" s="5" t="s">
        <v>17</v>
      </c>
      <c r="B33" s="6" t="s">
        <v>38</v>
      </c>
      <c r="C33" s="8">
        <v>2.5000000000000001E-2</v>
      </c>
      <c r="D33" s="13">
        <f>($C$16+$C$26)*C33</f>
        <v>51.513104166666665</v>
      </c>
    </row>
    <row r="34" spans="1:4" ht="16.5" thickBot="1" x14ac:dyDescent="0.3">
      <c r="A34" s="5" t="s">
        <v>19</v>
      </c>
      <c r="B34" s="6" t="s">
        <v>39</v>
      </c>
      <c r="C34" s="15">
        <v>0.03</v>
      </c>
      <c r="D34" s="13">
        <f t="shared" ref="D34:D39" si="0">($C$16+$C$26)*C34</f>
        <v>61.815724999999993</v>
      </c>
    </row>
    <row r="35" spans="1:4" ht="16.5" thickBot="1" x14ac:dyDescent="0.3">
      <c r="A35" s="5" t="s">
        <v>21</v>
      </c>
      <c r="B35" s="6" t="s">
        <v>40</v>
      </c>
      <c r="C35" s="8">
        <v>1.4999999999999999E-2</v>
      </c>
      <c r="D35" s="13">
        <f t="shared" si="0"/>
        <v>30.907862499999997</v>
      </c>
    </row>
    <row r="36" spans="1:4" ht="16.5" thickBot="1" x14ac:dyDescent="0.3">
      <c r="A36" s="5" t="s">
        <v>22</v>
      </c>
      <c r="B36" s="6" t="s">
        <v>41</v>
      </c>
      <c r="C36" s="8">
        <v>0.01</v>
      </c>
      <c r="D36" s="13">
        <f t="shared" si="0"/>
        <v>20.605241666666668</v>
      </c>
    </row>
    <row r="37" spans="1:4" ht="16.5" thickBot="1" x14ac:dyDescent="0.3">
      <c r="A37" s="5" t="s">
        <v>24</v>
      </c>
      <c r="B37" s="6" t="s">
        <v>3</v>
      </c>
      <c r="C37" s="8">
        <v>6.0000000000000001E-3</v>
      </c>
      <c r="D37" s="13">
        <f t="shared" si="0"/>
        <v>12.363144999999999</v>
      </c>
    </row>
    <row r="38" spans="1:4" ht="16.5" thickBot="1" x14ac:dyDescent="0.3">
      <c r="A38" s="5" t="s">
        <v>25</v>
      </c>
      <c r="B38" s="6" t="s">
        <v>4</v>
      </c>
      <c r="C38" s="8">
        <v>2E-3</v>
      </c>
      <c r="D38" s="13">
        <f t="shared" si="0"/>
        <v>4.1210483333333334</v>
      </c>
    </row>
    <row r="39" spans="1:4" ht="16.5" thickBot="1" x14ac:dyDescent="0.3">
      <c r="A39" s="5" t="s">
        <v>42</v>
      </c>
      <c r="B39" s="6" t="s">
        <v>5</v>
      </c>
      <c r="C39" s="8">
        <v>0.08</v>
      </c>
      <c r="D39" s="13">
        <f t="shared" si="0"/>
        <v>164.84193333333334</v>
      </c>
    </row>
    <row r="40" spans="1:4" ht="16.5" thickBot="1" x14ac:dyDescent="0.3">
      <c r="A40" s="194" t="s">
        <v>43</v>
      </c>
      <c r="B40" s="195"/>
      <c r="C40" s="8">
        <f>SUM(C32:C39)</f>
        <v>0.36800000000000005</v>
      </c>
      <c r="D40" s="14">
        <f>SUM(D32:D39)</f>
        <v>758.27289333333329</v>
      </c>
    </row>
    <row r="43" spans="1:4" x14ac:dyDescent="0.25">
      <c r="A43" s="196" t="s">
        <v>44</v>
      </c>
      <c r="B43" s="196"/>
      <c r="C43" s="196"/>
    </row>
    <row r="44" spans="1:4" ht="16.5" thickBot="1" x14ac:dyDescent="0.3"/>
    <row r="45" spans="1:4" ht="16.5" thickBot="1" x14ac:dyDescent="0.3">
      <c r="A45" s="3" t="s">
        <v>45</v>
      </c>
      <c r="B45" s="32" t="s">
        <v>46</v>
      </c>
      <c r="C45" s="32" t="s">
        <v>14</v>
      </c>
    </row>
    <row r="46" spans="1:4" ht="16.5" thickBot="1" x14ac:dyDescent="0.3">
      <c r="A46" s="5" t="s">
        <v>15</v>
      </c>
      <c r="B46" s="6" t="s">
        <v>47</v>
      </c>
      <c r="C46" s="13">
        <f>((BENEFICIOS!B3*2)*22)-($C$9*0.06)</f>
        <v>160.49459999999999</v>
      </c>
    </row>
    <row r="47" spans="1:4" ht="16.5" thickBot="1" x14ac:dyDescent="0.3">
      <c r="A47" s="5" t="s">
        <v>17</v>
      </c>
      <c r="B47" s="6" t="s">
        <v>48</v>
      </c>
      <c r="C47" s="13">
        <f>(BENEFICIOS!B4*22)-((BENEFICIOS!B4*22)*0.1)</f>
        <v>485.1</v>
      </c>
    </row>
    <row r="48" spans="1:4" ht="16.5" thickBot="1" x14ac:dyDescent="0.3">
      <c r="A48" s="5" t="s">
        <v>19</v>
      </c>
      <c r="B48" s="6" t="s">
        <v>85</v>
      </c>
      <c r="C48" s="13">
        <f>BENEFICIOS!B5</f>
        <v>180</v>
      </c>
    </row>
    <row r="49" spans="1:3" ht="16.5" thickBot="1" x14ac:dyDescent="0.3">
      <c r="A49" s="5" t="s">
        <v>21</v>
      </c>
      <c r="B49" s="6" t="s">
        <v>86</v>
      </c>
      <c r="C49" s="13">
        <f>BENEFICIOS!B6</f>
        <v>20</v>
      </c>
    </row>
    <row r="50" spans="1:3" ht="16.5" thickBot="1" x14ac:dyDescent="0.3">
      <c r="A50" s="27" t="s">
        <v>22</v>
      </c>
      <c r="B50" s="23" t="str">
        <f>BENEFICIOS!A7</f>
        <v>Plano odontologico</v>
      </c>
      <c r="C50" s="26">
        <f>BENEFICIOS!B7</f>
        <v>16</v>
      </c>
    </row>
    <row r="51" spans="1:3" ht="16.5" thickBot="1" x14ac:dyDescent="0.3">
      <c r="A51" s="194" t="s">
        <v>1</v>
      </c>
      <c r="B51" s="195"/>
      <c r="C51" s="13">
        <f>SUM(C46:C50)</f>
        <v>861.59460000000001</v>
      </c>
    </row>
    <row r="54" spans="1:3" x14ac:dyDescent="0.25">
      <c r="A54" s="196" t="s">
        <v>49</v>
      </c>
      <c r="B54" s="196"/>
      <c r="C54" s="196"/>
    </row>
    <row r="55" spans="1:3" ht="16.5" thickBot="1" x14ac:dyDescent="0.3"/>
    <row r="56" spans="1:3" ht="16.5" thickBot="1" x14ac:dyDescent="0.3">
      <c r="A56" s="3">
        <v>2</v>
      </c>
      <c r="B56" s="32" t="s">
        <v>50</v>
      </c>
      <c r="C56" s="32" t="s">
        <v>14</v>
      </c>
    </row>
    <row r="57" spans="1:3" ht="16.5" thickBot="1" x14ac:dyDescent="0.3">
      <c r="A57" s="5" t="s">
        <v>29</v>
      </c>
      <c r="B57" s="6" t="s">
        <v>30</v>
      </c>
      <c r="C57" s="14">
        <f>C26</f>
        <v>335.43416666666667</v>
      </c>
    </row>
    <row r="58" spans="1:3" ht="16.5" thickBot="1" x14ac:dyDescent="0.3">
      <c r="A58" s="5" t="s">
        <v>34</v>
      </c>
      <c r="B58" s="6" t="s">
        <v>35</v>
      </c>
      <c r="C58" s="14">
        <f>D40</f>
        <v>758.27289333333329</v>
      </c>
    </row>
    <row r="59" spans="1:3" ht="16.5" thickBot="1" x14ac:dyDescent="0.3">
      <c r="A59" s="5" t="s">
        <v>45</v>
      </c>
      <c r="B59" s="6" t="s">
        <v>46</v>
      </c>
      <c r="C59" s="14">
        <f>C51</f>
        <v>861.59460000000001</v>
      </c>
    </row>
    <row r="60" spans="1:3" ht="16.5" thickBot="1" x14ac:dyDescent="0.3">
      <c r="A60" s="194" t="s">
        <v>1</v>
      </c>
      <c r="B60" s="195"/>
      <c r="C60" s="14">
        <f>SUM(C57:C59)</f>
        <v>1955.3016600000001</v>
      </c>
    </row>
    <row r="61" spans="1:3" x14ac:dyDescent="0.25">
      <c r="A61" s="1"/>
    </row>
    <row r="63" spans="1:3" x14ac:dyDescent="0.25">
      <c r="A63" s="197" t="s">
        <v>51</v>
      </c>
      <c r="B63" s="197"/>
      <c r="C63" s="197"/>
    </row>
    <row r="64" spans="1:3" ht="16.5" thickBot="1" x14ac:dyDescent="0.3"/>
    <row r="65" spans="1:5" ht="16.5" thickBot="1" x14ac:dyDescent="0.3">
      <c r="A65" s="3">
        <v>3</v>
      </c>
      <c r="B65" s="32" t="s">
        <v>52</v>
      </c>
      <c r="C65" s="32" t="s">
        <v>14</v>
      </c>
    </row>
    <row r="66" spans="1:5" ht="16.5" thickBot="1" x14ac:dyDescent="0.3">
      <c r="A66" s="5" t="s">
        <v>15</v>
      </c>
      <c r="B66" s="9" t="s">
        <v>53</v>
      </c>
      <c r="C66" s="14">
        <f>(((C16+C26+C51)/12)*0.3846)</f>
        <v>93.653906471666659</v>
      </c>
      <c r="D66" s="16"/>
      <c r="E66" s="16"/>
    </row>
    <row r="67" spans="1:5" ht="16.5" thickBot="1" x14ac:dyDescent="0.3">
      <c r="A67" s="5" t="s">
        <v>17</v>
      </c>
      <c r="B67" s="9" t="s">
        <v>54</v>
      </c>
      <c r="C67" s="14">
        <f>(D39*0.3846)/12</f>
        <v>5.2831839633333333</v>
      </c>
      <c r="E67" s="16"/>
    </row>
    <row r="68" spans="1:5" ht="16.5" thickBot="1" x14ac:dyDescent="0.3">
      <c r="A68" s="5" t="s">
        <v>19</v>
      </c>
      <c r="B68" s="9" t="s">
        <v>55</v>
      </c>
      <c r="C68" s="14">
        <f>(C67*0.4)*0.3846</f>
        <v>0.8127650209192</v>
      </c>
      <c r="E68" s="16"/>
    </row>
    <row r="69" spans="1:5" ht="16.5" thickBot="1" x14ac:dyDescent="0.3">
      <c r="A69" s="5" t="s">
        <v>21</v>
      </c>
      <c r="B69" s="9" t="s">
        <v>56</v>
      </c>
      <c r="C69" s="14">
        <f>(((C16+C26+D40)/30)*7)/12</f>
        <v>54.809942833333331</v>
      </c>
    </row>
    <row r="70" spans="1:5" ht="16.5" thickBot="1" x14ac:dyDescent="0.3">
      <c r="A70" s="5" t="s">
        <v>22</v>
      </c>
      <c r="B70" s="9" t="s">
        <v>87</v>
      </c>
      <c r="C70" s="14">
        <f>C69*0.08</f>
        <v>4.3847954266666669</v>
      </c>
    </row>
    <row r="71" spans="1:5" ht="16.5" thickBot="1" x14ac:dyDescent="0.3">
      <c r="A71" s="5" t="s">
        <v>24</v>
      </c>
      <c r="B71" s="9" t="s">
        <v>57</v>
      </c>
      <c r="C71" s="14">
        <f>C70*0.4</f>
        <v>1.7539181706666669</v>
      </c>
    </row>
    <row r="72" spans="1:5" ht="16.5" thickBot="1" x14ac:dyDescent="0.3">
      <c r="A72" s="5" t="s">
        <v>25</v>
      </c>
      <c r="B72" s="9" t="s">
        <v>109</v>
      </c>
      <c r="C72" s="14">
        <f>D39*0.4</f>
        <v>65.936773333333335</v>
      </c>
    </row>
    <row r="73" spans="1:5" ht="16.5" thickBot="1" x14ac:dyDescent="0.3">
      <c r="A73" s="199" t="s">
        <v>1</v>
      </c>
      <c r="B73" s="200"/>
      <c r="C73" s="14">
        <f>SUM(C66:C72)</f>
        <v>226.63528521991918</v>
      </c>
      <c r="D73" s="16"/>
    </row>
    <row r="76" spans="1:5" x14ac:dyDescent="0.25">
      <c r="A76" s="197" t="s">
        <v>58</v>
      </c>
      <c r="B76" s="197"/>
      <c r="C76" s="197"/>
    </row>
    <row r="79" spans="1:5" x14ac:dyDescent="0.25">
      <c r="A79" s="196" t="s">
        <v>59</v>
      </c>
      <c r="B79" s="196"/>
      <c r="C79" s="196"/>
    </row>
    <row r="80" spans="1:5" ht="16.5" thickBot="1" x14ac:dyDescent="0.3">
      <c r="A80" s="2"/>
    </row>
    <row r="81" spans="1:5" ht="16.5" thickBot="1" x14ac:dyDescent="0.3">
      <c r="A81" s="3" t="s">
        <v>60</v>
      </c>
      <c r="B81" s="32" t="s">
        <v>61</v>
      </c>
      <c r="C81" s="32" t="s">
        <v>14</v>
      </c>
    </row>
    <row r="82" spans="1:5" ht="16.5" thickBot="1" x14ac:dyDescent="0.3">
      <c r="A82" s="5" t="s">
        <v>15</v>
      </c>
      <c r="B82" s="6" t="s">
        <v>2</v>
      </c>
      <c r="C82" s="13">
        <f>((($C$16+$C$60+$C$73)/30)*20.9589)/12</f>
        <v>227.46385289491604</v>
      </c>
      <c r="D82" s="17"/>
      <c r="E82" s="16">
        <f>D82/12</f>
        <v>0</v>
      </c>
    </row>
    <row r="83" spans="1:5" ht="16.5" thickBot="1" x14ac:dyDescent="0.3">
      <c r="A83" s="5" t="s">
        <v>17</v>
      </c>
      <c r="B83" s="6" t="s">
        <v>61</v>
      </c>
      <c r="C83" s="13">
        <f>((($C$16+$C$60+$C$73)/30)*4.8739)/12</f>
        <v>52.895718411964907</v>
      </c>
    </row>
    <row r="84" spans="1:5" ht="16.5" thickBot="1" x14ac:dyDescent="0.3">
      <c r="A84" s="5" t="s">
        <v>19</v>
      </c>
      <c r="B84" s="6" t="s">
        <v>62</v>
      </c>
      <c r="C84" s="13">
        <f>((($C$16+$C$60+$C$73)/30)*0.1997)/12</f>
        <v>2.1673146693344942</v>
      </c>
    </row>
    <row r="85" spans="1:5" ht="16.5" thickBot="1" x14ac:dyDescent="0.3">
      <c r="A85" s="5" t="s">
        <v>21</v>
      </c>
      <c r="B85" s="6" t="s">
        <v>63</v>
      </c>
      <c r="C85" s="13">
        <f>((($C$16+$C$60+$C$73)/30)*0.9659)/12</f>
        <v>10.482770351077557</v>
      </c>
    </row>
    <row r="86" spans="1:5" ht="16.5" thickBot="1" x14ac:dyDescent="0.3">
      <c r="A86" s="5" t="s">
        <v>22</v>
      </c>
      <c r="B86" s="6" t="s">
        <v>64</v>
      </c>
      <c r="C86" s="13">
        <f>((($C$16+$C$60+$C$73)/30)*2.4753)/12</f>
        <v>26.864066104174629</v>
      </c>
    </row>
    <row r="87" spans="1:5" ht="16.5" thickBot="1" x14ac:dyDescent="0.3">
      <c r="A87" s="5" t="s">
        <v>24</v>
      </c>
      <c r="B87" s="6" t="s">
        <v>26</v>
      </c>
      <c r="C87" s="7"/>
    </row>
    <row r="88" spans="1:5" ht="16.5" thickBot="1" x14ac:dyDescent="0.3">
      <c r="A88" s="194" t="s">
        <v>43</v>
      </c>
      <c r="B88" s="195"/>
      <c r="C88" s="14">
        <f>SUM(C82:C87)</f>
        <v>319.87372243146763</v>
      </c>
    </row>
    <row r="91" spans="1:5" x14ac:dyDescent="0.25">
      <c r="A91" s="196" t="s">
        <v>65</v>
      </c>
      <c r="B91" s="196"/>
      <c r="C91" s="196"/>
    </row>
    <row r="92" spans="1:5" ht="16.5" thickBot="1" x14ac:dyDescent="0.3">
      <c r="A92" s="2"/>
    </row>
    <row r="93" spans="1:5" ht="16.5" thickBot="1" x14ac:dyDescent="0.3">
      <c r="A93" s="3" t="s">
        <v>66</v>
      </c>
      <c r="B93" s="32" t="s">
        <v>67</v>
      </c>
      <c r="C93" s="32" t="s">
        <v>14</v>
      </c>
    </row>
    <row r="94" spans="1:5" ht="16.5" thickBot="1" x14ac:dyDescent="0.3">
      <c r="A94" s="5" t="s">
        <v>15</v>
      </c>
      <c r="B94" s="6" t="s">
        <v>84</v>
      </c>
      <c r="C94" s="7">
        <v>0</v>
      </c>
    </row>
    <row r="95" spans="1:5" ht="16.5" thickBot="1" x14ac:dyDescent="0.3">
      <c r="A95" s="194" t="s">
        <v>1</v>
      </c>
      <c r="B95" s="195"/>
      <c r="C95" s="7">
        <v>0</v>
      </c>
    </row>
    <row r="98" spans="1:3" x14ac:dyDescent="0.25">
      <c r="A98" s="196" t="s">
        <v>68</v>
      </c>
      <c r="B98" s="196"/>
      <c r="C98" s="196"/>
    </row>
    <row r="99" spans="1:3" ht="16.5" thickBot="1" x14ac:dyDescent="0.3">
      <c r="A99" s="2"/>
    </row>
    <row r="100" spans="1:3" ht="16.5" thickBot="1" x14ac:dyDescent="0.3">
      <c r="A100" s="3">
        <v>4</v>
      </c>
      <c r="B100" s="32" t="s">
        <v>69</v>
      </c>
      <c r="C100" s="32" t="s">
        <v>14</v>
      </c>
    </row>
    <row r="101" spans="1:3" ht="16.5" thickBot="1" x14ac:dyDescent="0.3">
      <c r="A101" s="5" t="s">
        <v>60</v>
      </c>
      <c r="B101" s="6" t="s">
        <v>61</v>
      </c>
      <c r="C101" s="13">
        <f>C88</f>
        <v>319.87372243146763</v>
      </c>
    </row>
    <row r="102" spans="1:3" ht="16.5" thickBot="1" x14ac:dyDescent="0.3">
      <c r="A102" s="5" t="s">
        <v>66</v>
      </c>
      <c r="B102" s="6" t="s">
        <v>67</v>
      </c>
      <c r="C102" s="13">
        <f>C95</f>
        <v>0</v>
      </c>
    </row>
    <row r="103" spans="1:3" ht="16.5" thickBot="1" x14ac:dyDescent="0.3">
      <c r="A103" s="194" t="s">
        <v>1</v>
      </c>
      <c r="B103" s="195"/>
      <c r="C103" s="14">
        <f>SUM(C101:C102)</f>
        <v>319.87372243146763</v>
      </c>
    </row>
    <row r="106" spans="1:3" x14ac:dyDescent="0.25">
      <c r="A106" s="197" t="s">
        <v>70</v>
      </c>
      <c r="B106" s="197"/>
      <c r="C106" s="197"/>
    </row>
    <row r="107" spans="1:3" ht="16.5" thickBot="1" x14ac:dyDescent="0.3"/>
    <row r="108" spans="1:3" ht="16.5" thickBot="1" x14ac:dyDescent="0.3">
      <c r="A108" s="3">
        <v>5</v>
      </c>
      <c r="B108" s="10" t="s">
        <v>7</v>
      </c>
      <c r="C108" s="32" t="s">
        <v>14</v>
      </c>
    </row>
    <row r="109" spans="1:3" ht="16.5" thickBot="1" x14ac:dyDescent="0.3">
      <c r="A109" s="5" t="s">
        <v>15</v>
      </c>
      <c r="B109" s="6" t="s">
        <v>71</v>
      </c>
      <c r="C109" s="13">
        <f>(35.35*1.0448)*1.0545</f>
        <v>38.946565560000003</v>
      </c>
    </row>
    <row r="110" spans="1:3" ht="16.5" thickBot="1" x14ac:dyDescent="0.3">
      <c r="A110" s="5" t="s">
        <v>17</v>
      </c>
      <c r="B110" s="6" t="s">
        <v>72</v>
      </c>
      <c r="C110" s="13"/>
    </row>
    <row r="111" spans="1:3" ht="16.5" thickBot="1" x14ac:dyDescent="0.3">
      <c r="A111" s="5" t="s">
        <v>19</v>
      </c>
      <c r="B111" s="6" t="s">
        <v>73</v>
      </c>
      <c r="C111" s="7"/>
    </row>
    <row r="112" spans="1:3" ht="16.5" thickBot="1" x14ac:dyDescent="0.3">
      <c r="A112" s="5" t="s">
        <v>21</v>
      </c>
      <c r="B112" s="6" t="s">
        <v>26</v>
      </c>
      <c r="C112" s="7"/>
    </row>
    <row r="113" spans="1:4" ht="16.5" thickBot="1" x14ac:dyDescent="0.3">
      <c r="A113" s="194" t="s">
        <v>43</v>
      </c>
      <c r="B113" s="195"/>
      <c r="C113" s="13">
        <f>SUM(C109:C112)</f>
        <v>38.946565560000003</v>
      </c>
    </row>
    <row r="116" spans="1:4" x14ac:dyDescent="0.25">
      <c r="A116" s="197" t="s">
        <v>74</v>
      </c>
      <c r="B116" s="197"/>
      <c r="C116" s="197"/>
    </row>
    <row r="117" spans="1:4" ht="16.5" thickBot="1" x14ac:dyDescent="0.3"/>
    <row r="118" spans="1:4" ht="16.5" thickBot="1" x14ac:dyDescent="0.3">
      <c r="A118" s="3">
        <v>6</v>
      </c>
      <c r="B118" s="10" t="s">
        <v>8</v>
      </c>
      <c r="C118" s="32" t="s">
        <v>36</v>
      </c>
      <c r="D118" s="32" t="s">
        <v>14</v>
      </c>
    </row>
    <row r="119" spans="1:4" ht="16.5" thickBot="1" x14ac:dyDescent="0.3">
      <c r="A119" s="5" t="s">
        <v>15</v>
      </c>
      <c r="B119" s="6" t="s">
        <v>9</v>
      </c>
      <c r="C119" s="18">
        <v>0.08</v>
      </c>
      <c r="D119" s="13">
        <f>($C$16+$C$60+$C$73+$C$103+$C$113)*C119</f>
        <v>341.26777865691099</v>
      </c>
    </row>
    <row r="120" spans="1:4" ht="16.5" thickBot="1" x14ac:dyDescent="0.3">
      <c r="A120" s="5" t="s">
        <v>17</v>
      </c>
      <c r="B120" s="6" t="s">
        <v>11</v>
      </c>
      <c r="C120" s="20">
        <v>6.79</v>
      </c>
      <c r="D120" s="14">
        <f>C138*(C120/100)</f>
        <v>369.94218224439157</v>
      </c>
    </row>
    <row r="121" spans="1:4" ht="16.5" thickBot="1" x14ac:dyDescent="0.3">
      <c r="A121" s="5" t="s">
        <v>19</v>
      </c>
      <c r="B121" s="6" t="s">
        <v>10</v>
      </c>
      <c r="C121" s="7"/>
      <c r="D121" s="7"/>
    </row>
    <row r="122" spans="1:4" ht="16.5" thickBot="1" x14ac:dyDescent="0.3">
      <c r="A122" s="5"/>
      <c r="B122" s="6" t="s">
        <v>88</v>
      </c>
      <c r="C122" s="13">
        <v>3.65</v>
      </c>
      <c r="D122" s="14">
        <f>C138*(C122/100)</f>
        <v>198.86435422563019</v>
      </c>
    </row>
    <row r="123" spans="1:4" ht="16.5" thickBot="1" x14ac:dyDescent="0.3">
      <c r="A123" s="5"/>
      <c r="B123" s="6" t="s">
        <v>75</v>
      </c>
      <c r="C123" s="13"/>
      <c r="D123" s="7"/>
    </row>
    <row r="124" spans="1:4" ht="16.5" thickBot="1" x14ac:dyDescent="0.3">
      <c r="A124" s="5"/>
      <c r="B124" s="6" t="s">
        <v>89</v>
      </c>
      <c r="C124" s="13">
        <v>5</v>
      </c>
      <c r="D124" s="14">
        <f>C138*(C124/100)</f>
        <v>272.41692359675375</v>
      </c>
    </row>
    <row r="125" spans="1:4" ht="16.5" thickBot="1" x14ac:dyDescent="0.3">
      <c r="A125" s="194" t="s">
        <v>43</v>
      </c>
      <c r="B125" s="195"/>
      <c r="C125" s="7"/>
      <c r="D125" s="14">
        <f>SUM(D119:D124)</f>
        <v>1182.4912387236866</v>
      </c>
    </row>
    <row r="128" spans="1:4" x14ac:dyDescent="0.25">
      <c r="A128" s="197" t="s">
        <v>76</v>
      </c>
      <c r="B128" s="197"/>
      <c r="C128" s="197"/>
    </row>
    <row r="129" spans="1:7" ht="16.5" thickBot="1" x14ac:dyDescent="0.3"/>
    <row r="130" spans="1:7" ht="16.5" thickBot="1" x14ac:dyDescent="0.3">
      <c r="A130" s="3"/>
      <c r="B130" s="32" t="s">
        <v>77</v>
      </c>
      <c r="C130" s="32" t="s">
        <v>14</v>
      </c>
    </row>
    <row r="131" spans="1:7" ht="16.5" thickBot="1" x14ac:dyDescent="0.3">
      <c r="A131" s="12" t="s">
        <v>15</v>
      </c>
      <c r="B131" s="6" t="s">
        <v>12</v>
      </c>
      <c r="C131" s="19">
        <f>C16</f>
        <v>1725.09</v>
      </c>
    </row>
    <row r="132" spans="1:7" ht="16.5" thickBot="1" x14ac:dyDescent="0.3">
      <c r="A132" s="12" t="s">
        <v>17</v>
      </c>
      <c r="B132" s="6" t="s">
        <v>27</v>
      </c>
      <c r="C132" s="19">
        <f>C60</f>
        <v>1955.3016600000001</v>
      </c>
    </row>
    <row r="133" spans="1:7" ht="16.5" thickBot="1" x14ac:dyDescent="0.3">
      <c r="A133" s="12" t="s">
        <v>19</v>
      </c>
      <c r="B133" s="6" t="s">
        <v>51</v>
      </c>
      <c r="C133" s="19">
        <f>C73</f>
        <v>226.63528521991918</v>
      </c>
    </row>
    <row r="134" spans="1:7" ht="16.5" thickBot="1" x14ac:dyDescent="0.3">
      <c r="A134" s="12" t="s">
        <v>21</v>
      </c>
      <c r="B134" s="6" t="s">
        <v>58</v>
      </c>
      <c r="C134" s="19">
        <f>C103</f>
        <v>319.87372243146763</v>
      </c>
    </row>
    <row r="135" spans="1:7" ht="16.5" thickBot="1" x14ac:dyDescent="0.3">
      <c r="A135" s="12" t="s">
        <v>22</v>
      </c>
      <c r="B135" s="6" t="s">
        <v>70</v>
      </c>
      <c r="C135" s="19">
        <f>C113</f>
        <v>38.946565560000003</v>
      </c>
    </row>
    <row r="136" spans="1:7" ht="16.5" thickBot="1" x14ac:dyDescent="0.3">
      <c r="A136" s="194" t="s">
        <v>78</v>
      </c>
      <c r="B136" s="195"/>
      <c r="C136" s="19">
        <f>SUM(C131:C135)</f>
        <v>4265.847233211387</v>
      </c>
    </row>
    <row r="137" spans="1:7" ht="16.5" thickBot="1" x14ac:dyDescent="0.3">
      <c r="A137" s="12" t="s">
        <v>24</v>
      </c>
      <c r="B137" s="6" t="s">
        <v>79</v>
      </c>
      <c r="C137" s="19">
        <f>(C136+D119)</f>
        <v>4607.1150118682981</v>
      </c>
    </row>
    <row r="138" spans="1:7" ht="16.5" thickBot="1" x14ac:dyDescent="0.3">
      <c r="A138" s="194" t="s">
        <v>80</v>
      </c>
      <c r="B138" s="195"/>
      <c r="C138" s="19">
        <f>(C137/((100-C122-C124-C120)/100))</f>
        <v>5448.3384719350743</v>
      </c>
      <c r="G138" s="31"/>
    </row>
    <row r="139" spans="1:7" x14ac:dyDescent="0.25">
      <c r="C139" s="16"/>
      <c r="G139" s="31"/>
    </row>
    <row r="140" spans="1:7" x14ac:dyDescent="0.25">
      <c r="G140" s="31"/>
    </row>
  </sheetData>
  <mergeCells count="30">
    <mergeCell ref="A19:C19"/>
    <mergeCell ref="A1:D1"/>
    <mergeCell ref="A2:D2"/>
    <mergeCell ref="A3:D3"/>
    <mergeCell ref="A6:C6"/>
    <mergeCell ref="A16:B16"/>
    <mergeCell ref="A79:C79"/>
    <mergeCell ref="A21:C21"/>
    <mergeCell ref="A26:B26"/>
    <mergeCell ref="A29:D29"/>
    <mergeCell ref="A40:B40"/>
    <mergeCell ref="A43:C43"/>
    <mergeCell ref="A51:B51"/>
    <mergeCell ref="A54:C54"/>
    <mergeCell ref="A60:B60"/>
    <mergeCell ref="A63:C63"/>
    <mergeCell ref="A73:B73"/>
    <mergeCell ref="A76:C76"/>
    <mergeCell ref="A138:B138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25:B125"/>
    <mergeCell ref="A128:C128"/>
    <mergeCell ref="A136:B1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E12" sqref="E12"/>
    </sheetView>
  </sheetViews>
  <sheetFormatPr defaultRowHeight="15" x14ac:dyDescent="0.25"/>
  <cols>
    <col min="1" max="1" width="37.7109375" customWidth="1"/>
    <col min="2" max="2" width="11.28515625" customWidth="1"/>
  </cols>
  <sheetData>
    <row r="3" spans="1:2" ht="16.5" thickBot="1" x14ac:dyDescent="0.3">
      <c r="A3" s="6" t="s">
        <v>47</v>
      </c>
      <c r="B3" s="13">
        <v>6</v>
      </c>
    </row>
    <row r="4" spans="1:2" ht="16.5" thickBot="1" x14ac:dyDescent="0.3">
      <c r="A4" s="6" t="s">
        <v>48</v>
      </c>
      <c r="B4" s="13">
        <v>24.5</v>
      </c>
    </row>
    <row r="5" spans="1:2" ht="16.5" thickBot="1" x14ac:dyDescent="0.3">
      <c r="A5" s="6" t="s">
        <v>85</v>
      </c>
      <c r="B5" s="13">
        <v>180</v>
      </c>
    </row>
    <row r="6" spans="1:2" ht="16.5" thickBot="1" x14ac:dyDescent="0.3">
      <c r="A6" s="23" t="s">
        <v>86</v>
      </c>
      <c r="B6" s="24">
        <v>20</v>
      </c>
    </row>
    <row r="7" spans="1:2" ht="16.5" thickBot="1" x14ac:dyDescent="0.3">
      <c r="A7" s="25" t="s">
        <v>93</v>
      </c>
      <c r="B7" s="26">
        <v>16</v>
      </c>
    </row>
    <row r="8" spans="1:2" ht="16.5" thickBot="1" x14ac:dyDescent="0.3">
      <c r="A8" s="23" t="s">
        <v>145</v>
      </c>
      <c r="B8" s="24">
        <v>10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8</vt:i4>
      </vt:variant>
    </vt:vector>
  </HeadingPairs>
  <TitlesOfParts>
    <vt:vector size="18" baseType="lpstr">
      <vt:lpstr>PROPOSTA</vt:lpstr>
      <vt:lpstr>POR METRO</vt:lpstr>
      <vt:lpstr>ENCARREGADA</vt:lpstr>
      <vt:lpstr>AGENTE DE LIMPEZA banheirista</vt:lpstr>
      <vt:lpstr>AGENTE DE LIMPEZA </vt:lpstr>
      <vt:lpstr>Uniformes e utensilhos</vt:lpstr>
      <vt:lpstr>MATERIAIS</vt:lpstr>
      <vt:lpstr>encarregado</vt:lpstr>
      <vt:lpstr>BENEFICIOS</vt:lpstr>
      <vt:lpstr>Plan1</vt:lpstr>
      <vt:lpstr>'AGENTE DE LIMPEZA '!Area_de_impressao</vt:lpstr>
      <vt:lpstr>'AGENTE DE LIMPEZA banheirista'!Area_de_impressao</vt:lpstr>
      <vt:lpstr>BENEFICIOS!Area_de_impressao</vt:lpstr>
      <vt:lpstr>ENCARREGADA!Area_de_impressao</vt:lpstr>
      <vt:lpstr>MATERIAIS!Area_de_impressao</vt:lpstr>
      <vt:lpstr>'POR METRO'!Area_de_impressao</vt:lpstr>
      <vt:lpstr>PROPOSTA!Area_de_impressao</vt:lpstr>
      <vt:lpstr>'Uniformes e utensilhos'!Area_de_impressao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Celio Neves</dc:creator>
  <cp:lastModifiedBy>IFAM CMZL</cp:lastModifiedBy>
  <cp:lastPrinted>2026-09-04T13:43:50Z</cp:lastPrinted>
  <dcterms:created xsi:type="dcterms:W3CDTF">2018-01-23T19:35:16Z</dcterms:created>
  <dcterms:modified xsi:type="dcterms:W3CDTF">2026-09-04T13:44:11Z</dcterms:modified>
</cp:coreProperties>
</file>